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TU\0.NPK\INVESTIČNÍ AKCE\■ PROBÍHAJÍCÍ\■ SYN\► ÚPRAVA PARKU PŘED PSYCHIATRIÍ\► OPRAVA ZDIVA PERGOLY\► VZ_PODKLADY\"/>
    </mc:Choice>
  </mc:AlternateContent>
  <xr:revisionPtr revIDLastSave="0" documentId="13_ncr:1_{8D919E0E-A14A-4EED-90B8-8FB16DE9DBD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Krycí list rozpočtu" sheetId="1" r:id="rId1"/>
    <sheet name="Stavební rozpočet" sheetId="3" r:id="rId2"/>
    <sheet name="VORN" sheetId="2" r:id="rId3"/>
  </sheets>
  <definedNames>
    <definedName name="vorn_sum">VORN!$I$37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BJ51" i="3"/>
  <c r="BF51" i="3"/>
  <c r="BD51" i="3"/>
  <c r="AP51" i="3"/>
  <c r="BI51" i="3" s="1"/>
  <c r="AO51" i="3"/>
  <c r="AW51" i="3" s="1"/>
  <c r="AK51" i="3"/>
  <c r="AJ51" i="3"/>
  <c r="AH51" i="3"/>
  <c r="AG51" i="3"/>
  <c r="AF51" i="3"/>
  <c r="AE51" i="3"/>
  <c r="AD51" i="3"/>
  <c r="AC51" i="3"/>
  <c r="AB51" i="3"/>
  <c r="Z51" i="3"/>
  <c r="H51" i="3"/>
  <c r="AL51" i="3" s="1"/>
  <c r="AU50" i="3" s="1"/>
  <c r="AT50" i="3"/>
  <c r="AS50" i="3"/>
  <c r="H50" i="3"/>
  <c r="BJ49" i="3"/>
  <c r="BF49" i="3"/>
  <c r="BD49" i="3"/>
  <c r="AW49" i="3"/>
  <c r="AP49" i="3"/>
  <c r="BI49" i="3" s="1"/>
  <c r="AO49" i="3"/>
  <c r="BH49" i="3" s="1"/>
  <c r="AL49" i="3"/>
  <c r="AK49" i="3"/>
  <c r="AJ49" i="3"/>
  <c r="AH49" i="3"/>
  <c r="AG49" i="3"/>
  <c r="AF49" i="3"/>
  <c r="AE49" i="3"/>
  <c r="AD49" i="3"/>
  <c r="AC49" i="3"/>
  <c r="AB49" i="3"/>
  <c r="Z49" i="3"/>
  <c r="H49" i="3"/>
  <c r="BJ48" i="3"/>
  <c r="Z48" i="3" s="1"/>
  <c r="BF48" i="3"/>
  <c r="BD48" i="3"/>
  <c r="AP48" i="3"/>
  <c r="BI48" i="3" s="1"/>
  <c r="AO48" i="3"/>
  <c r="BH48" i="3" s="1"/>
  <c r="AK48" i="3"/>
  <c r="AJ48" i="3"/>
  <c r="AH48" i="3"/>
  <c r="AG48" i="3"/>
  <c r="AF48" i="3"/>
  <c r="AE48" i="3"/>
  <c r="AD48" i="3"/>
  <c r="AC48" i="3"/>
  <c r="AB48" i="3"/>
  <c r="H48" i="3"/>
  <c r="AL48" i="3" s="1"/>
  <c r="BJ47" i="3"/>
  <c r="BF47" i="3"/>
  <c r="BD47" i="3"/>
  <c r="AP47" i="3"/>
  <c r="AX47" i="3" s="1"/>
  <c r="AO47" i="3"/>
  <c r="BH47" i="3" s="1"/>
  <c r="AK47" i="3"/>
  <c r="AJ47" i="3"/>
  <c r="AH47" i="3"/>
  <c r="AG47" i="3"/>
  <c r="AF47" i="3"/>
  <c r="AE47" i="3"/>
  <c r="AD47" i="3"/>
  <c r="AC47" i="3"/>
  <c r="AB47" i="3"/>
  <c r="Z47" i="3"/>
  <c r="H47" i="3"/>
  <c r="AL47" i="3" s="1"/>
  <c r="BJ46" i="3"/>
  <c r="Z46" i="3" s="1"/>
  <c r="BF46" i="3"/>
  <c r="BD46" i="3"/>
  <c r="AX46" i="3"/>
  <c r="AP46" i="3"/>
  <c r="BI46" i="3" s="1"/>
  <c r="AO46" i="3"/>
  <c r="AW46" i="3" s="1"/>
  <c r="AK46" i="3"/>
  <c r="AJ46" i="3"/>
  <c r="AH46" i="3"/>
  <c r="AG46" i="3"/>
  <c r="AF46" i="3"/>
  <c r="AE46" i="3"/>
  <c r="AD46" i="3"/>
  <c r="AC46" i="3"/>
  <c r="AB46" i="3"/>
  <c r="H46" i="3"/>
  <c r="AL46" i="3" s="1"/>
  <c r="BJ45" i="3"/>
  <c r="Z45" i="3" s="1"/>
  <c r="BF45" i="3"/>
  <c r="BD45" i="3"/>
  <c r="AW45" i="3"/>
  <c r="AP45" i="3"/>
  <c r="BI45" i="3" s="1"/>
  <c r="AO45" i="3"/>
  <c r="BH45" i="3" s="1"/>
  <c r="AL45" i="3"/>
  <c r="AK45" i="3"/>
  <c r="AJ45" i="3"/>
  <c r="AH45" i="3"/>
  <c r="AG45" i="3"/>
  <c r="AF45" i="3"/>
  <c r="AE45" i="3"/>
  <c r="AD45" i="3"/>
  <c r="AC45" i="3"/>
  <c r="AB45" i="3"/>
  <c r="H45" i="3"/>
  <c r="BJ44" i="3"/>
  <c r="Z44" i="3" s="1"/>
  <c r="BF44" i="3"/>
  <c r="BD44" i="3"/>
  <c r="AP44" i="3"/>
  <c r="BI44" i="3" s="1"/>
  <c r="AO44" i="3"/>
  <c r="BH44" i="3" s="1"/>
  <c r="AK44" i="3"/>
  <c r="AT42" i="3" s="1"/>
  <c r="AJ44" i="3"/>
  <c r="AH44" i="3"/>
  <c r="AG44" i="3"/>
  <c r="AF44" i="3"/>
  <c r="AE44" i="3"/>
  <c r="AD44" i="3"/>
  <c r="AC44" i="3"/>
  <c r="AB44" i="3"/>
  <c r="H44" i="3"/>
  <c r="AL44" i="3" s="1"/>
  <c r="BJ43" i="3"/>
  <c r="BF43" i="3"/>
  <c r="BD43" i="3"/>
  <c r="AP43" i="3"/>
  <c r="AX43" i="3" s="1"/>
  <c r="AO43" i="3"/>
  <c r="BH43" i="3" s="1"/>
  <c r="AK43" i="3"/>
  <c r="AJ43" i="3"/>
  <c r="AH43" i="3"/>
  <c r="AG43" i="3"/>
  <c r="AF43" i="3"/>
  <c r="AE43" i="3"/>
  <c r="AD43" i="3"/>
  <c r="AC43" i="3"/>
  <c r="AB43" i="3"/>
  <c r="Z43" i="3"/>
  <c r="H43" i="3"/>
  <c r="AL43" i="3" s="1"/>
  <c r="AU42" i="3" s="1"/>
  <c r="AS42" i="3"/>
  <c r="BJ41" i="3"/>
  <c r="Z41" i="3" s="1"/>
  <c r="BF41" i="3"/>
  <c r="BD41" i="3"/>
  <c r="AX41" i="3"/>
  <c r="AP41" i="3"/>
  <c r="BI41" i="3" s="1"/>
  <c r="AO41" i="3"/>
  <c r="AW41" i="3" s="1"/>
  <c r="AK41" i="3"/>
  <c r="AJ41" i="3"/>
  <c r="AH41" i="3"/>
  <c r="AG41" i="3"/>
  <c r="AF41" i="3"/>
  <c r="AE41" i="3"/>
  <c r="AD41" i="3"/>
  <c r="AC41" i="3"/>
  <c r="AB41" i="3"/>
  <c r="H41" i="3"/>
  <c r="AL41" i="3" s="1"/>
  <c r="AU40" i="3" s="1"/>
  <c r="AT40" i="3"/>
  <c r="AS40" i="3"/>
  <c r="H40" i="3"/>
  <c r="BJ39" i="3"/>
  <c r="Z39" i="3" s="1"/>
  <c r="BF39" i="3"/>
  <c r="BD39" i="3"/>
  <c r="AW39" i="3"/>
  <c r="AP39" i="3"/>
  <c r="BI39" i="3" s="1"/>
  <c r="AO39" i="3"/>
  <c r="BH39" i="3" s="1"/>
  <c r="AL39" i="3"/>
  <c r="AK39" i="3"/>
  <c r="AJ39" i="3"/>
  <c r="AH39" i="3"/>
  <c r="AG39" i="3"/>
  <c r="AF39" i="3"/>
  <c r="AE39" i="3"/>
  <c r="AD39" i="3"/>
  <c r="AC39" i="3"/>
  <c r="AB39" i="3"/>
  <c r="H39" i="3"/>
  <c r="AU38" i="3"/>
  <c r="AT38" i="3"/>
  <c r="AS38" i="3"/>
  <c r="H38" i="3"/>
  <c r="BJ37" i="3"/>
  <c r="BF37" i="3"/>
  <c r="BD37" i="3"/>
  <c r="AP37" i="3"/>
  <c r="BI37" i="3" s="1"/>
  <c r="AC37" i="3" s="1"/>
  <c r="AO37" i="3"/>
  <c r="BH37" i="3" s="1"/>
  <c r="AB37" i="3" s="1"/>
  <c r="AK37" i="3"/>
  <c r="AT35" i="3" s="1"/>
  <c r="AJ37" i="3"/>
  <c r="AH37" i="3"/>
  <c r="AG37" i="3"/>
  <c r="AF37" i="3"/>
  <c r="AE37" i="3"/>
  <c r="AD37" i="3"/>
  <c r="Z37" i="3"/>
  <c r="H37" i="3"/>
  <c r="AL37" i="3" s="1"/>
  <c r="BJ36" i="3"/>
  <c r="BF36" i="3"/>
  <c r="BD36" i="3"/>
  <c r="AP36" i="3"/>
  <c r="AX36" i="3" s="1"/>
  <c r="AO36" i="3"/>
  <c r="BH36" i="3" s="1"/>
  <c r="AB36" i="3" s="1"/>
  <c r="AK36" i="3"/>
  <c r="AJ36" i="3"/>
  <c r="AH36" i="3"/>
  <c r="AG36" i="3"/>
  <c r="AF36" i="3"/>
  <c r="AE36" i="3"/>
  <c r="AD36" i="3"/>
  <c r="Z36" i="3"/>
  <c r="H36" i="3"/>
  <c r="AL36" i="3" s="1"/>
  <c r="AU35" i="3" s="1"/>
  <c r="AS35" i="3"/>
  <c r="H35" i="3"/>
  <c r="BJ34" i="3"/>
  <c r="BF34" i="3"/>
  <c r="BD34" i="3"/>
  <c r="AX34" i="3"/>
  <c r="AP34" i="3"/>
  <c r="BI34" i="3" s="1"/>
  <c r="AC34" i="3" s="1"/>
  <c r="AO34" i="3"/>
  <c r="AW34" i="3" s="1"/>
  <c r="AK34" i="3"/>
  <c r="AJ34" i="3"/>
  <c r="AH34" i="3"/>
  <c r="AG34" i="3"/>
  <c r="AF34" i="3"/>
  <c r="AE34" i="3"/>
  <c r="AD34" i="3"/>
  <c r="Z34" i="3"/>
  <c r="H34" i="3"/>
  <c r="AL34" i="3" s="1"/>
  <c r="AU33" i="3" s="1"/>
  <c r="AT33" i="3"/>
  <c r="AS33" i="3"/>
  <c r="BJ32" i="3"/>
  <c r="BF32" i="3"/>
  <c r="BD32" i="3"/>
  <c r="AW32" i="3"/>
  <c r="AP32" i="3"/>
  <c r="BI32" i="3" s="1"/>
  <c r="AC32" i="3" s="1"/>
  <c r="AO32" i="3"/>
  <c r="BH32" i="3" s="1"/>
  <c r="AB32" i="3" s="1"/>
  <c r="AL32" i="3"/>
  <c r="AK32" i="3"/>
  <c r="AJ32" i="3"/>
  <c r="AH32" i="3"/>
  <c r="AG32" i="3"/>
  <c r="AF32" i="3"/>
  <c r="AE32" i="3"/>
  <c r="AD32" i="3"/>
  <c r="Z32" i="3"/>
  <c r="H32" i="3"/>
  <c r="AU31" i="3"/>
  <c r="AT31" i="3"/>
  <c r="AS31" i="3"/>
  <c r="H31" i="3"/>
  <c r="BJ30" i="3"/>
  <c r="BF30" i="3"/>
  <c r="BD30" i="3"/>
  <c r="AP30" i="3"/>
  <c r="BI30" i="3" s="1"/>
  <c r="AE30" i="3" s="1"/>
  <c r="AO30" i="3"/>
  <c r="BH30" i="3" s="1"/>
  <c r="AD30" i="3" s="1"/>
  <c r="AK30" i="3"/>
  <c r="AJ30" i="3"/>
  <c r="AH30" i="3"/>
  <c r="AG30" i="3"/>
  <c r="AF30" i="3"/>
  <c r="AC30" i="3"/>
  <c r="AB30" i="3"/>
  <c r="Z30" i="3"/>
  <c r="H30" i="3"/>
  <c r="AL30" i="3" s="1"/>
  <c r="AU29" i="3" s="1"/>
  <c r="AT29" i="3"/>
  <c r="AS29" i="3"/>
  <c r="H29" i="3"/>
  <c r="BJ28" i="3"/>
  <c r="BF28" i="3"/>
  <c r="BD28" i="3"/>
  <c r="AP28" i="3"/>
  <c r="AX28" i="3" s="1"/>
  <c r="AO28" i="3"/>
  <c r="BH28" i="3" s="1"/>
  <c r="AD28" i="3" s="1"/>
  <c r="AK28" i="3"/>
  <c r="AJ28" i="3"/>
  <c r="AS25" i="3" s="1"/>
  <c r="AH28" i="3"/>
  <c r="AG28" i="3"/>
  <c r="AF28" i="3"/>
  <c r="AC28" i="3"/>
  <c r="AB28" i="3"/>
  <c r="Z28" i="3"/>
  <c r="H28" i="3"/>
  <c r="AL28" i="3" s="1"/>
  <c r="BJ27" i="3"/>
  <c r="BF27" i="3"/>
  <c r="BD27" i="3"/>
  <c r="AX27" i="3"/>
  <c r="AP27" i="3"/>
  <c r="BI27" i="3" s="1"/>
  <c r="AE27" i="3" s="1"/>
  <c r="AO27" i="3"/>
  <c r="AW27" i="3" s="1"/>
  <c r="AK27" i="3"/>
  <c r="AJ27" i="3"/>
  <c r="AH27" i="3"/>
  <c r="AG27" i="3"/>
  <c r="AF27" i="3"/>
  <c r="AC27" i="3"/>
  <c r="AB27" i="3"/>
  <c r="Z27" i="3"/>
  <c r="H27" i="3"/>
  <c r="AL27" i="3" s="1"/>
  <c r="AU25" i="3" s="1"/>
  <c r="BJ26" i="3"/>
  <c r="BF26" i="3"/>
  <c r="BD26" i="3"/>
  <c r="AW26" i="3"/>
  <c r="AP26" i="3"/>
  <c r="BI26" i="3" s="1"/>
  <c r="AE26" i="3" s="1"/>
  <c r="AO26" i="3"/>
  <c r="BH26" i="3" s="1"/>
  <c r="AD26" i="3" s="1"/>
  <c r="AL26" i="3"/>
  <c r="AK26" i="3"/>
  <c r="AJ26" i="3"/>
  <c r="AH26" i="3"/>
  <c r="AG26" i="3"/>
  <c r="AF26" i="3"/>
  <c r="AC26" i="3"/>
  <c r="AB26" i="3"/>
  <c r="Z26" i="3"/>
  <c r="H26" i="3"/>
  <c r="AT25" i="3"/>
  <c r="BJ24" i="3"/>
  <c r="BF24" i="3"/>
  <c r="BD24" i="3"/>
  <c r="AP24" i="3"/>
  <c r="BI24" i="3" s="1"/>
  <c r="AE24" i="3" s="1"/>
  <c r="AO24" i="3"/>
  <c r="BH24" i="3" s="1"/>
  <c r="AD24" i="3" s="1"/>
  <c r="AK24" i="3"/>
  <c r="AJ24" i="3"/>
  <c r="AH24" i="3"/>
  <c r="AG24" i="3"/>
  <c r="AF24" i="3"/>
  <c r="AC24" i="3"/>
  <c r="AB24" i="3"/>
  <c r="Z24" i="3"/>
  <c r="H24" i="3"/>
  <c r="AL24" i="3" s="1"/>
  <c r="AU23" i="3" s="1"/>
  <c r="AT23" i="3"/>
  <c r="AS23" i="3"/>
  <c r="H23" i="3"/>
  <c r="BJ22" i="3"/>
  <c r="BF22" i="3"/>
  <c r="BD22" i="3"/>
  <c r="AP22" i="3"/>
  <c r="AX22" i="3" s="1"/>
  <c r="AO22" i="3"/>
  <c r="BH22" i="3" s="1"/>
  <c r="AD22" i="3" s="1"/>
  <c r="AK22" i="3"/>
  <c r="AJ22" i="3"/>
  <c r="AH22" i="3"/>
  <c r="AG22" i="3"/>
  <c r="AF22" i="3"/>
  <c r="AC22" i="3"/>
  <c r="AB22" i="3"/>
  <c r="Z22" i="3"/>
  <c r="H22" i="3"/>
  <c r="AL22" i="3" s="1"/>
  <c r="AU21" i="3" s="1"/>
  <c r="AT21" i="3"/>
  <c r="AS21" i="3"/>
  <c r="H21" i="3"/>
  <c r="BJ20" i="3"/>
  <c r="BF20" i="3"/>
  <c r="BD20" i="3"/>
  <c r="AX20" i="3"/>
  <c r="AP20" i="3"/>
  <c r="BI20" i="3" s="1"/>
  <c r="AE20" i="3" s="1"/>
  <c r="AO20" i="3"/>
  <c r="AW20" i="3" s="1"/>
  <c r="AK20" i="3"/>
  <c r="AJ20" i="3"/>
  <c r="AH20" i="3"/>
  <c r="AG20" i="3"/>
  <c r="AF20" i="3"/>
  <c r="AC20" i="3"/>
  <c r="AB20" i="3"/>
  <c r="Z20" i="3"/>
  <c r="H20" i="3"/>
  <c r="AL20" i="3" s="1"/>
  <c r="BJ19" i="3"/>
  <c r="BF19" i="3"/>
  <c r="BD19" i="3"/>
  <c r="AW19" i="3"/>
  <c r="AP19" i="3"/>
  <c r="BI19" i="3" s="1"/>
  <c r="AE19" i="3" s="1"/>
  <c r="AO19" i="3"/>
  <c r="BH19" i="3" s="1"/>
  <c r="AD19" i="3" s="1"/>
  <c r="AL19" i="3"/>
  <c r="AK19" i="3"/>
  <c r="AJ19" i="3"/>
  <c r="AH19" i="3"/>
  <c r="AG19" i="3"/>
  <c r="AF19" i="3"/>
  <c r="AC19" i="3"/>
  <c r="AB19" i="3"/>
  <c r="Z19" i="3"/>
  <c r="H19" i="3"/>
  <c r="BJ18" i="3"/>
  <c r="BF18" i="3"/>
  <c r="BD18" i="3"/>
  <c r="AP18" i="3"/>
  <c r="BI18" i="3" s="1"/>
  <c r="AE18" i="3" s="1"/>
  <c r="AO18" i="3"/>
  <c r="BH18" i="3" s="1"/>
  <c r="AD18" i="3" s="1"/>
  <c r="AK18" i="3"/>
  <c r="AT14" i="3" s="1"/>
  <c r="AJ18" i="3"/>
  <c r="AH18" i="3"/>
  <c r="AG18" i="3"/>
  <c r="AF18" i="3"/>
  <c r="AC18" i="3"/>
  <c r="AB18" i="3"/>
  <c r="Z18" i="3"/>
  <c r="H18" i="3"/>
  <c r="AL18" i="3" s="1"/>
  <c r="BJ17" i="3"/>
  <c r="BF17" i="3"/>
  <c r="BD17" i="3"/>
  <c r="AP17" i="3"/>
  <c r="AX17" i="3" s="1"/>
  <c r="AO17" i="3"/>
  <c r="BH17" i="3" s="1"/>
  <c r="AD17" i="3" s="1"/>
  <c r="AK17" i="3"/>
  <c r="AJ17" i="3"/>
  <c r="AS14" i="3" s="1"/>
  <c r="AH17" i="3"/>
  <c r="AG17" i="3"/>
  <c r="AF17" i="3"/>
  <c r="AC17" i="3"/>
  <c r="AB17" i="3"/>
  <c r="Z17" i="3"/>
  <c r="H17" i="3"/>
  <c r="AL17" i="3" s="1"/>
  <c r="BJ16" i="3"/>
  <c r="BF16" i="3"/>
  <c r="BD16" i="3"/>
  <c r="AX16" i="3"/>
  <c r="AP16" i="3"/>
  <c r="BI16" i="3" s="1"/>
  <c r="AE16" i="3" s="1"/>
  <c r="AO16" i="3"/>
  <c r="AW16" i="3" s="1"/>
  <c r="AK16" i="3"/>
  <c r="AJ16" i="3"/>
  <c r="AH16" i="3"/>
  <c r="AG16" i="3"/>
  <c r="AF16" i="3"/>
  <c r="AC16" i="3"/>
  <c r="AB16" i="3"/>
  <c r="Z16" i="3"/>
  <c r="H16" i="3"/>
  <c r="AL16" i="3" s="1"/>
  <c r="BJ15" i="3"/>
  <c r="BF15" i="3"/>
  <c r="BD15" i="3"/>
  <c r="AW15" i="3"/>
  <c r="AP15" i="3"/>
  <c r="BI15" i="3" s="1"/>
  <c r="AE15" i="3" s="1"/>
  <c r="AO15" i="3"/>
  <c r="BH15" i="3" s="1"/>
  <c r="AD15" i="3" s="1"/>
  <c r="AL15" i="3"/>
  <c r="AK15" i="3"/>
  <c r="AJ15" i="3"/>
  <c r="AH15" i="3"/>
  <c r="AG15" i="3"/>
  <c r="AF15" i="3"/>
  <c r="AC15" i="3"/>
  <c r="AB15" i="3"/>
  <c r="Z15" i="3"/>
  <c r="H15" i="3"/>
  <c r="BJ13" i="3"/>
  <c r="BF13" i="3"/>
  <c r="BD13" i="3"/>
  <c r="AP13" i="3"/>
  <c r="BI13" i="3" s="1"/>
  <c r="AC13" i="3" s="1"/>
  <c r="AO13" i="3"/>
  <c r="BH13" i="3" s="1"/>
  <c r="AB13" i="3" s="1"/>
  <c r="AK13" i="3"/>
  <c r="C28" i="1" s="1"/>
  <c r="F28" i="1" s="1"/>
  <c r="AJ13" i="3"/>
  <c r="C27" i="1" s="1"/>
  <c r="AH13" i="3"/>
  <c r="AG13" i="3"/>
  <c r="C19" i="1" s="1"/>
  <c r="AF13" i="3"/>
  <c r="C18" i="1" s="1"/>
  <c r="AE13" i="3"/>
  <c r="AD13" i="3"/>
  <c r="Z13" i="3"/>
  <c r="AL13" i="3"/>
  <c r="AU12" i="3" s="1"/>
  <c r="H12" i="3"/>
  <c r="AU1" i="3"/>
  <c r="AT1" i="3"/>
  <c r="AS1" i="3"/>
  <c r="I37" i="2"/>
  <c r="I36" i="2"/>
  <c r="I27" i="2"/>
  <c r="I26" i="2"/>
  <c r="I25" i="2"/>
  <c r="I17" i="1" s="1"/>
  <c r="I24" i="2"/>
  <c r="I23" i="2"/>
  <c r="I17" i="2"/>
  <c r="F16" i="1" s="1"/>
  <c r="I16" i="2"/>
  <c r="I15" i="2"/>
  <c r="I10" i="2"/>
  <c r="F10" i="2"/>
  <c r="C10" i="2"/>
  <c r="F8" i="2"/>
  <c r="C8" i="2"/>
  <c r="F6" i="2"/>
  <c r="C6" i="2"/>
  <c r="F4" i="2"/>
  <c r="C4" i="2"/>
  <c r="F2" i="2"/>
  <c r="C2" i="2"/>
  <c r="I24" i="1"/>
  <c r="I19" i="1"/>
  <c r="I18" i="1"/>
  <c r="I16" i="1"/>
  <c r="I15" i="1"/>
  <c r="F15" i="1"/>
  <c r="F14" i="1"/>
  <c r="C10" i="1"/>
  <c r="F8" i="1"/>
  <c r="C8" i="1"/>
  <c r="C6" i="1"/>
  <c r="F4" i="1"/>
  <c r="C4" i="1"/>
  <c r="F2" i="1"/>
  <c r="C2" i="1"/>
  <c r="AS12" i="3" l="1"/>
  <c r="AT12" i="3"/>
  <c r="C20" i="1"/>
  <c r="C21" i="1"/>
  <c r="AV27" i="3"/>
  <c r="BC27" i="3"/>
  <c r="AV34" i="3"/>
  <c r="BC34" i="3"/>
  <c r="AU14" i="3"/>
  <c r="AV20" i="3"/>
  <c r="BC20" i="3"/>
  <c r="AV41" i="3"/>
  <c r="BC41" i="3"/>
  <c r="AV16" i="3"/>
  <c r="BC16" i="3"/>
  <c r="AV46" i="3"/>
  <c r="BC46" i="3"/>
  <c r="BC51" i="3"/>
  <c r="BH16" i="3"/>
  <c r="AD16" i="3" s="1"/>
  <c r="C16" i="1" s="1"/>
  <c r="BI17" i="3"/>
  <c r="AE17" i="3" s="1"/>
  <c r="C17" i="1" s="1"/>
  <c r="AX51" i="3"/>
  <c r="AV51" i="3" s="1"/>
  <c r="BH51" i="3"/>
  <c r="BI28" i="3"/>
  <c r="AE28" i="3" s="1"/>
  <c r="BH34" i="3"/>
  <c r="AB34" i="3" s="1"/>
  <c r="C14" i="1" s="1"/>
  <c r="BH41" i="3"/>
  <c r="BI43" i="3"/>
  <c r="BI47" i="3"/>
  <c r="AW13" i="3"/>
  <c r="H14" i="3"/>
  <c r="H52" i="3" s="1"/>
  <c r="AX15" i="3"/>
  <c r="AV15" i="3" s="1"/>
  <c r="AW18" i="3"/>
  <c r="AX19" i="3"/>
  <c r="AV19" i="3" s="1"/>
  <c r="AW24" i="3"/>
  <c r="H25" i="3"/>
  <c r="AX26" i="3"/>
  <c r="AV26" i="3" s="1"/>
  <c r="AW30" i="3"/>
  <c r="AX32" i="3"/>
  <c r="AV32" i="3" s="1"/>
  <c r="AW37" i="3"/>
  <c r="AX39" i="3"/>
  <c r="AV39" i="3" s="1"/>
  <c r="AW44" i="3"/>
  <c r="AX45" i="3"/>
  <c r="AV45" i="3" s="1"/>
  <c r="AW48" i="3"/>
  <c r="AX49" i="3"/>
  <c r="AV49" i="3" s="1"/>
  <c r="BH20" i="3"/>
  <c r="AD20" i="3" s="1"/>
  <c r="BI22" i="3"/>
  <c r="AE22" i="3" s="1"/>
  <c r="BH27" i="3"/>
  <c r="AD27" i="3" s="1"/>
  <c r="H33" i="3"/>
  <c r="BI36" i="3"/>
  <c r="AC36" i="3" s="1"/>
  <c r="C15" i="1" s="1"/>
  <c r="BH46" i="3"/>
  <c r="AX13" i="3"/>
  <c r="BC15" i="3"/>
  <c r="AW17" i="3"/>
  <c r="AX18" i="3"/>
  <c r="BC19" i="3"/>
  <c r="AW22" i="3"/>
  <c r="AX24" i="3"/>
  <c r="AW28" i="3"/>
  <c r="AX30" i="3"/>
  <c r="BC32" i="3"/>
  <c r="AW36" i="3"/>
  <c r="AX37" i="3"/>
  <c r="BC39" i="3"/>
  <c r="AW43" i="3"/>
  <c r="AX44" i="3"/>
  <c r="BC45" i="3"/>
  <c r="AW47" i="3"/>
  <c r="AX48" i="3"/>
  <c r="BC49" i="3"/>
  <c r="H42" i="3"/>
  <c r="C22" i="1" l="1"/>
  <c r="BC22" i="3"/>
  <c r="AV22" i="3"/>
  <c r="BC18" i="3"/>
  <c r="AV18" i="3"/>
  <c r="BC47" i="3"/>
  <c r="AV47" i="3"/>
  <c r="BC48" i="3"/>
  <c r="AV48" i="3"/>
  <c r="BC37" i="3"/>
  <c r="AV37" i="3"/>
  <c r="BC26" i="3"/>
  <c r="AV43" i="3"/>
  <c r="BC43" i="3"/>
  <c r="BC28" i="3"/>
  <c r="AV28" i="3"/>
  <c r="BC24" i="3"/>
  <c r="AV24" i="3"/>
  <c r="BC36" i="3"/>
  <c r="AV36" i="3"/>
  <c r="AV17" i="3"/>
  <c r="BC17" i="3"/>
  <c r="BC44" i="3"/>
  <c r="AV44" i="3"/>
  <c r="BC30" i="3"/>
  <c r="AV30" i="3"/>
  <c r="BC13" i="3"/>
  <c r="AV13" i="3"/>
  <c r="H18" i="2" l="1"/>
  <c r="I18" i="2" s="1"/>
  <c r="H22" i="2"/>
  <c r="I22" i="2" s="1"/>
  <c r="I28" i="2" l="1"/>
  <c r="I14" i="1"/>
  <c r="I22" i="1" s="1"/>
  <c r="F17" i="1"/>
  <c r="F22" i="1" s="1"/>
  <c r="I19" i="2"/>
  <c r="F30" i="2" l="1"/>
  <c r="C29" i="1"/>
  <c r="F29" i="1" l="1"/>
  <c r="I28" i="1"/>
  <c r="I29" i="1" l="1"/>
</calcChain>
</file>

<file path=xl/sharedStrings.xml><?xml version="1.0" encoding="utf-8"?>
<sst xmlns="http://schemas.openxmlformats.org/spreadsheetml/2006/main" count="585" uniqueCount="236">
  <si>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</si>
  <si>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</si>
  <si>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</si>
  <si>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</si>
  <si>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</si>
  <si>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</si>
  <si>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</si>
  <si>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</si>
  <si>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</si>
  <si>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</si>
  <si>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</si>
  <si>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</si>
  <si>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</si>
  <si>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</si>
  <si>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</si>
  <si>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</si>
  <si>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</si>
  <si>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</si>
  <si>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</si>
  <si>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</si>
  <si>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</si>
  <si>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</si>
  <si>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</si>
  <si>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</si>
  <si>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</si>
  <si>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</si>
  <si>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</si>
  <si>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</si>
  <si>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</si>
  <si>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</si>
  <si>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</si>
  <si>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</si>
  <si>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Režie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</si>
  <si>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</si>
  <si>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</si>
  <si>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</si>
  <si>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</si>
  <si>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</si>
  <si>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</si>
  <si>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</si>
  <si>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</si>
  <si>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</si>
  <si>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</si>
  <si>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</si>
  <si>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</si>
  <si>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</si>
  <si>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</si>
  <si>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</si>
  <si>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</si>
  <si>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</si>
  <si>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</si>
  <si>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</si>
  <si>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</si>
  <si>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</si>
  <si>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</si>
  <si>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</si>
  <si>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</si>
  <si>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</si>
  <si>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</si>
  <si>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</si>
  <si>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</si>
  <si>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</si>
  <si>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</si>
  <si>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</si>
  <si>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</si>
  <si>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</si>
  <si>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</si>
  <si>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</si>
  <si>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</si>
  <si>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</si>
  <si>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</si>
  <si>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Doba výstavby:</t>
  </si>
  <si>
    <t xml:space="preserve"> </t>
  </si>
  <si>
    <t>Nemocnice Pardbického kraje a. s.</t>
  </si>
  <si>
    <t> </t>
  </si>
  <si>
    <t>Zpracováno dne:</t>
  </si>
  <si>
    <t>Č</t>
  </si>
  <si>
    <t>Kód</t>
  </si>
  <si>
    <t>Zkrácený popis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</si>
  <si>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</si>
  <si>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</si>
  <si>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</si>
  <si>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</si>
  <si>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</si>
  <si>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</si>
  <si>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</si>
  <si>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</si>
  <si>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</si>
  <si>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</si>
  <si>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</si>
  <si>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</si>
  <si>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</si>
  <si>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</si>
  <si>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</si>
  <si>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</si>
  <si>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</si>
  <si>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</si>
  <si>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</si>
  <si>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</si>
  <si>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</si>
  <si>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</si>
  <si>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31</t>
  </si>
  <si>
    <t>Zdi podpěrné a volné</t>
  </si>
  <si>
    <t>1</t>
  </si>
  <si>
    <t>311112130RT2</t>
  </si>
  <si>
    <t>Stěna z tvárnic ztraceného bednění, tl. 300 mm, zalití tvárnic betonem</t>
  </si>
  <si>
    <t>m2</t>
  </si>
  <si>
    <t>31_</t>
  </si>
  <si>
    <t>3_</t>
  </si>
  <si>
    <t>_</t>
  </si>
  <si>
    <t>711</t>
  </si>
  <si>
    <t>Izolace proti vodě</t>
  </si>
  <si>
    <t>2</t>
  </si>
  <si>
    <t>711140101R00</t>
  </si>
  <si>
    <t>Odstranění izolace proti vlhkosti na ploše vodorovné, asfaltové pásy přitavením, 1 vrstva</t>
  </si>
  <si>
    <t>7</t>
  </si>
  <si>
    <t>711_</t>
  </si>
  <si>
    <t>71_</t>
  </si>
  <si>
    <t>3</t>
  </si>
  <si>
    <t>711111001RZ2</t>
  </si>
  <si>
    <t>Provedení izolace proti vlhkosti na ploše vodorovné, 1x asfaltovým penetračním nátěrem</t>
  </si>
  <si>
    <t>4</t>
  </si>
  <si>
    <t>711141559RY1</t>
  </si>
  <si>
    <t>Provedení izolace proti vlhkosti na ploše vodorovné, asfaltovými pásy přitavením, včetně dod.</t>
  </si>
  <si>
    <t>5</t>
  </si>
  <si>
    <t>711112001RZ1</t>
  </si>
  <si>
    <t>Provedení izolace proti vlhkosti na ploše svislé, 1x asfaltovým penetračním nátěr</t>
  </si>
  <si>
    <t>6</t>
  </si>
  <si>
    <t>711142559RY1</t>
  </si>
  <si>
    <t>Provedení izolace proti vlhkosti na ploše svislé, asfaltovými pásy přitavením, včetně dod.</t>
  </si>
  <si>
    <t>711132311R00</t>
  </si>
  <si>
    <t>Provedení izolace nopovou fólií na ploše svislé</t>
  </si>
  <si>
    <t>762</t>
  </si>
  <si>
    <t>Konstrukce tesařské</t>
  </si>
  <si>
    <t>8</t>
  </si>
  <si>
    <t>76213511000X</t>
  </si>
  <si>
    <t>Oprava zastřešení pergoly</t>
  </si>
  <si>
    <t>soub</t>
  </si>
  <si>
    <t>762_</t>
  </si>
  <si>
    <t>76_</t>
  </si>
  <si>
    <t>764</t>
  </si>
  <si>
    <t>Konstrukce klempířské</t>
  </si>
  <si>
    <t>9</t>
  </si>
  <si>
    <t>764817140R00</t>
  </si>
  <si>
    <t>Oplechování zdí (atik) z lak.Pz plechu, rš 400 mm</t>
  </si>
  <si>
    <t>m</t>
  </si>
  <si>
    <t>764_</t>
  </si>
  <si>
    <t>781</t>
  </si>
  <si>
    <t>Obklady (keramické)</t>
  </si>
  <si>
    <t>10</t>
  </si>
  <si>
    <t>781101210RT1</t>
  </si>
  <si>
    <t>Penetrace podkladu pod obklady</t>
  </si>
  <si>
    <t>781_</t>
  </si>
  <si>
    <t>78_</t>
  </si>
  <si>
    <t>11</t>
  </si>
  <si>
    <t>781735011R00</t>
  </si>
  <si>
    <t>Montáž cihelných pásků 250x65x10 mm, do tmele</t>
  </si>
  <si>
    <t>12</t>
  </si>
  <si>
    <t>781735000000</t>
  </si>
  <si>
    <t>Příplatek k použítému lepidlu</t>
  </si>
  <si>
    <t>783</t>
  </si>
  <si>
    <t>Nátěry</t>
  </si>
  <si>
    <t>13</t>
  </si>
  <si>
    <t>78361210000X</t>
  </si>
  <si>
    <t>Nátěr konstrukce střechy olejový</t>
  </si>
  <si>
    <t>783_</t>
  </si>
  <si>
    <t>94</t>
  </si>
  <si>
    <t>Lešení a stavební výtahy</t>
  </si>
  <si>
    <t>14</t>
  </si>
  <si>
    <t>941955001R00</t>
  </si>
  <si>
    <t>Lešení lehké pomocné, výška podlahy do 1,2 m</t>
  </si>
  <si>
    <t>94_</t>
  </si>
  <si>
    <t>9_</t>
  </si>
  <si>
    <t>96</t>
  </si>
  <si>
    <t>Bourání konstrukcí</t>
  </si>
  <si>
    <t>15</t>
  </si>
  <si>
    <t>962032231R00</t>
  </si>
  <si>
    <t>Bourání zdiva z cihel pálených na MVC</t>
  </si>
  <si>
    <t>m3</t>
  </si>
  <si>
    <t>96_</t>
  </si>
  <si>
    <t>97</t>
  </si>
  <si>
    <t>Prorážení otvorů a ostatní bourací práce</t>
  </si>
  <si>
    <t>16</t>
  </si>
  <si>
    <t>978059631R00</t>
  </si>
  <si>
    <t>Odsekání vnějších obkladů stěn nad 2 m2</t>
  </si>
  <si>
    <t>97_</t>
  </si>
  <si>
    <t>17</t>
  </si>
  <si>
    <t>975073111R00</t>
  </si>
  <si>
    <t>Jednost.podchycení vazníků do 3,5m,do 1000 kg/m</t>
  </si>
  <si>
    <t>H01</t>
  </si>
  <si>
    <t>Budovy občanské výstavby</t>
  </si>
  <si>
    <t>18</t>
  </si>
  <si>
    <t>998011001R00</t>
  </si>
  <si>
    <t>Přesun hmot</t>
  </si>
  <si>
    <t>t</t>
  </si>
  <si>
    <t>H01_</t>
  </si>
  <si>
    <t>H781</t>
  </si>
  <si>
    <t>19</t>
  </si>
  <si>
    <t>998781101R00</t>
  </si>
  <si>
    <t>Přesun hmot pro obklady keramické, výšky do 6 m</t>
  </si>
  <si>
    <t>H781_</t>
  </si>
  <si>
    <t>S</t>
  </si>
  <si>
    <t>Přesuny sutí</t>
  </si>
  <si>
    <t>20</t>
  </si>
  <si>
    <t>979082111R00</t>
  </si>
  <si>
    <t>Vnitrostaveništní doprava suti do 10 m</t>
  </si>
  <si>
    <t>S_</t>
  </si>
  <si>
    <t>21</t>
  </si>
  <si>
    <t>97908730000</t>
  </si>
  <si>
    <t>Příplatek k přesunu suti</t>
  </si>
  <si>
    <t>22</t>
  </si>
  <si>
    <t>979087112R00</t>
  </si>
  <si>
    <t>Nakládání suti na dopravní prostředky</t>
  </si>
  <si>
    <t>23</t>
  </si>
  <si>
    <t>979081111R00</t>
  </si>
  <si>
    <t>Odvoz suti a vybour. hmot na skládku do 1 km</t>
  </si>
  <si>
    <t>24</t>
  </si>
  <si>
    <t>979081121RT2</t>
  </si>
  <si>
    <t>Příplatek k odvozu za každý další 1 km</t>
  </si>
  <si>
    <t>25</t>
  </si>
  <si>
    <t>979990001R00</t>
  </si>
  <si>
    <t>Poplatek za skládku stavební suti</t>
  </si>
  <si>
    <t>26</t>
  </si>
  <si>
    <t>979990121R00</t>
  </si>
  <si>
    <t>Poplatek za uložení suti - asfaltové pásy, skupina odpadu 170302</t>
  </si>
  <si>
    <t>M</t>
  </si>
  <si>
    <t>27</t>
  </si>
  <si>
    <t>596240200</t>
  </si>
  <si>
    <t>Pásek obkladový KLINKER ČFP.červený, 290 x 10 x 65 mm</t>
  </si>
  <si>
    <t>kus</t>
  </si>
  <si>
    <t>0</t>
  </si>
  <si>
    <t>Z99999_</t>
  </si>
  <si>
    <t>Z_</t>
  </si>
  <si>
    <t>Oprava pergoly psychiatrie</t>
  </si>
  <si>
    <t>Svitavská nemocnice - SYN</t>
  </si>
  <si>
    <t>Pásek obkladový KLINKER ČFP.červený, 290 x 10 x 65 mm - stejný jako původní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</si>
</sst>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62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0" fillId="0" borderId="6" xfId="0" applyBorder="1"/>
    <xf numFmtId="0" fontId="2" fillId="2" borderId="68" xfId="0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4" fontId="3" fillId="2" borderId="40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4" fontId="2" fillId="0" borderId="8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9" xfId="0" applyBorder="1"/>
    <xf numFmtId="4" fontId="3" fillId="0" borderId="69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2" fillId="3" borderId="0" xfId="0" applyNumberFormat="1" applyFont="1" applyFill="1" applyAlignment="1">
      <alignment horizontal="right" vertical="center"/>
    </xf>
    <xf numFmtId="4" fontId="2" fillId="3" borderId="8" xfId="0" applyNumberFormat="1" applyFont="1" applyFill="1" applyBorder="1" applyAlignment="1">
      <alignment horizontal="right" vertical="center"/>
    </xf>
    <xf numFmtId="4" fontId="2" fillId="3" borderId="49" xfId="0" applyNumberFormat="1" applyFont="1" applyFill="1" applyBorder="1" applyAlignment="1">
      <alignment horizontal="right" vertical="center"/>
    </xf>
    <xf numFmtId="4" fontId="2" fillId="3" borderId="16" xfId="0" applyNumberFormat="1" applyFont="1" applyFill="1" applyBorder="1" applyAlignment="1">
      <alignment horizontal="right" vertical="center"/>
    </xf>
    <xf numFmtId="4" fontId="2" fillId="4" borderId="1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workbookViewId="0">
      <selection activeCell="I29" sqref="I2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2" t="s">
        <v>0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A2" s="104" t="s">
        <v>1</v>
      </c>
      <c r="B2" s="105"/>
      <c r="C2" s="110" t="str">
        <f>'Stavební rozpočet'!C2</f>
        <v>Oprava pergoly psychiatrie</v>
      </c>
      <c r="D2" s="111"/>
      <c r="E2" s="101" t="s">
        <v>2</v>
      </c>
      <c r="F2" s="101" t="str">
        <f>'Stavební rozpočet'!I2</f>
        <v>Nemocnice Pardbického kraje a. s.</v>
      </c>
      <c r="G2" s="105"/>
      <c r="H2" s="101" t="s">
        <v>3</v>
      </c>
      <c r="I2" s="107" t="s">
        <v>4</v>
      </c>
    </row>
    <row r="3" spans="1:9" ht="15" customHeight="1" x14ac:dyDescent="0.25">
      <c r="A3" s="106"/>
      <c r="B3" s="62"/>
      <c r="C3" s="112"/>
      <c r="D3" s="112"/>
      <c r="E3" s="62"/>
      <c r="F3" s="62"/>
      <c r="G3" s="62"/>
      <c r="H3" s="62"/>
      <c r="I3" s="108"/>
    </row>
    <row r="4" spans="1:9" x14ac:dyDescent="0.25">
      <c r="A4" s="99" t="s">
        <v>5</v>
      </c>
      <c r="B4" s="62"/>
      <c r="C4" s="61" t="str">
        <f>'Stavební rozpočet'!C4</f>
        <v xml:space="preserve"> </v>
      </c>
      <c r="D4" s="62"/>
      <c r="E4" s="61" t="s">
        <v>6</v>
      </c>
      <c r="F4" s="61" t="str">
        <f>'Stavební rozpočet'!I4</f>
        <v> </v>
      </c>
      <c r="G4" s="62"/>
      <c r="H4" s="61" t="s">
        <v>3</v>
      </c>
      <c r="I4" s="108" t="s">
        <v>4</v>
      </c>
    </row>
    <row r="5" spans="1:9" ht="15" customHeight="1" x14ac:dyDescent="0.25">
      <c r="A5" s="106"/>
      <c r="B5" s="62"/>
      <c r="C5" s="62"/>
      <c r="D5" s="62"/>
      <c r="E5" s="62"/>
      <c r="F5" s="62"/>
      <c r="G5" s="62"/>
      <c r="H5" s="62"/>
      <c r="I5" s="108"/>
    </row>
    <row r="6" spans="1:9" x14ac:dyDescent="0.25">
      <c r="A6" s="99" t="s">
        <v>7</v>
      </c>
      <c r="B6" s="62"/>
      <c r="C6" s="61" t="str">
        <f>'Stavební rozpočet'!C6</f>
        <v>Svitavská nemocnice - SYN</v>
      </c>
      <c r="D6" s="62"/>
      <c r="E6" s="61" t="s">
        <v>8</v>
      </c>
      <c r="F6" s="61"/>
      <c r="G6" s="62"/>
      <c r="H6" s="61" t="s">
        <v>3</v>
      </c>
      <c r="I6" s="108"/>
    </row>
    <row r="7" spans="1:9" ht="15" customHeight="1" x14ac:dyDescent="0.25">
      <c r="A7" s="106"/>
      <c r="B7" s="62"/>
      <c r="C7" s="62"/>
      <c r="D7" s="62"/>
      <c r="E7" s="62"/>
      <c r="F7" s="62"/>
      <c r="G7" s="62"/>
      <c r="H7" s="62"/>
      <c r="I7" s="108"/>
    </row>
    <row r="8" spans="1:9" x14ac:dyDescent="0.25">
      <c r="A8" s="99" t="s">
        <v>9</v>
      </c>
      <c r="B8" s="62"/>
      <c r="C8" s="61" t="str">
        <f>'Stavební rozpočet'!G4</f>
        <v xml:space="preserve"> </v>
      </c>
      <c r="D8" s="62"/>
      <c r="E8" s="61" t="s">
        <v>10</v>
      </c>
      <c r="F8" s="61" t="str">
        <f>'Stavební rozpočet'!G6</f>
        <v xml:space="preserve"> </v>
      </c>
      <c r="G8" s="62"/>
      <c r="H8" s="62" t="s">
        <v>11</v>
      </c>
      <c r="I8" s="109">
        <v>27</v>
      </c>
    </row>
    <row r="9" spans="1:9" x14ac:dyDescent="0.25">
      <c r="A9" s="106"/>
      <c r="B9" s="62"/>
      <c r="C9" s="62"/>
      <c r="D9" s="62"/>
      <c r="E9" s="62"/>
      <c r="F9" s="62"/>
      <c r="G9" s="62"/>
      <c r="H9" s="62"/>
      <c r="I9" s="108"/>
    </row>
    <row r="10" spans="1:9" x14ac:dyDescent="0.25">
      <c r="A10" s="99" t="s">
        <v>12</v>
      </c>
      <c r="B10" s="62"/>
      <c r="C10" s="61" t="str">
        <f>'Stavební rozpočet'!C8</f>
        <v xml:space="preserve"> </v>
      </c>
      <c r="D10" s="62"/>
      <c r="E10" s="61" t="s">
        <v>13</v>
      </c>
      <c r="F10" s="61"/>
      <c r="G10" s="62"/>
      <c r="H10" s="62" t="s">
        <v>14</v>
      </c>
      <c r="I10" s="93"/>
    </row>
    <row r="11" spans="1:9" x14ac:dyDescent="0.25">
      <c r="A11" s="100"/>
      <c r="B11" s="98"/>
      <c r="C11" s="98"/>
      <c r="D11" s="98"/>
      <c r="E11" s="98"/>
      <c r="F11" s="98"/>
      <c r="G11" s="98"/>
      <c r="H11" s="98"/>
      <c r="I11" s="94"/>
    </row>
    <row r="12" spans="1:9" ht="23.25" x14ac:dyDescent="0.25">
      <c r="A12" s="95" t="s">
        <v>15</v>
      </c>
      <c r="B12" s="95"/>
      <c r="C12" s="95"/>
      <c r="D12" s="95"/>
      <c r="E12" s="95"/>
      <c r="F12" s="95"/>
      <c r="G12" s="95"/>
      <c r="H12" s="95"/>
      <c r="I12" s="95"/>
    </row>
    <row r="13" spans="1:9" ht="26.25" customHeight="1" x14ac:dyDescent="0.25">
      <c r="A13" s="6" t="s">
        <v>16</v>
      </c>
      <c r="B13" s="96" t="s">
        <v>17</v>
      </c>
      <c r="C13" s="97"/>
      <c r="D13" s="7" t="s">
        <v>18</v>
      </c>
      <c r="E13" s="96" t="s">
        <v>19</v>
      </c>
      <c r="F13" s="97"/>
      <c r="G13" s="7" t="s">
        <v>20</v>
      </c>
      <c r="H13" s="96" t="s">
        <v>21</v>
      </c>
      <c r="I13" s="97"/>
    </row>
    <row r="14" spans="1:9" ht="15.75" x14ac:dyDescent="0.25">
      <c r="A14" s="8" t="s">
        <v>22</v>
      </c>
      <c r="B14" s="9" t="s">
        <v>23</v>
      </c>
      <c r="C14" s="10">
        <f>SUM('Stavební rozpočet'!AB12:AB51)</f>
        <v>0</v>
      </c>
      <c r="D14" s="83" t="s">
        <v>24</v>
      </c>
      <c r="E14" s="84"/>
      <c r="F14" s="10">
        <f>VORN!I15</f>
        <v>0</v>
      </c>
      <c r="G14" s="83" t="s">
        <v>25</v>
      </c>
      <c r="H14" s="84"/>
      <c r="I14" s="11">
        <f>VORN!I22</f>
        <v>0</v>
      </c>
    </row>
    <row r="15" spans="1:9" ht="15.75" x14ac:dyDescent="0.25">
      <c r="A15" s="12" t="s">
        <v>4</v>
      </c>
      <c r="B15" s="9" t="s">
        <v>26</v>
      </c>
      <c r="C15" s="10">
        <f>SUM('Stavební rozpočet'!AC12:AC51)</f>
        <v>0</v>
      </c>
      <c r="D15" s="83" t="s">
        <v>27</v>
      </c>
      <c r="E15" s="84"/>
      <c r="F15" s="10">
        <f>VORN!I16</f>
        <v>0</v>
      </c>
      <c r="G15" s="83" t="s">
        <v>28</v>
      </c>
      <c r="H15" s="84"/>
      <c r="I15" s="11">
        <f>VORN!I23</f>
        <v>0</v>
      </c>
    </row>
    <row r="16" spans="1:9" ht="15.75" x14ac:dyDescent="0.25">
      <c r="A16" s="8" t="s">
        <v>29</v>
      </c>
      <c r="B16" s="9" t="s">
        <v>23</v>
      </c>
      <c r="C16" s="10">
        <f>SUM('Stavební rozpočet'!AD12:AD51)</f>
        <v>0</v>
      </c>
      <c r="D16" s="83" t="s">
        <v>30</v>
      </c>
      <c r="E16" s="84"/>
      <c r="F16" s="10">
        <f>VORN!I17</f>
        <v>0</v>
      </c>
      <c r="G16" s="83" t="s">
        <v>31</v>
      </c>
      <c r="H16" s="84"/>
      <c r="I16" s="11">
        <f>VORN!I24</f>
        <v>0</v>
      </c>
    </row>
    <row r="17" spans="1:9" ht="15.75" x14ac:dyDescent="0.25">
      <c r="A17" s="12" t="s">
        <v>4</v>
      </c>
      <c r="B17" s="9" t="s">
        <v>26</v>
      </c>
      <c r="C17" s="10">
        <f>SUM('Stavební rozpočet'!AE12:AE51)</f>
        <v>0</v>
      </c>
      <c r="D17" s="83" t="s">
        <v>32</v>
      </c>
      <c r="E17" s="84"/>
      <c r="F17" s="10">
        <f>VORN!I18</f>
        <v>0</v>
      </c>
      <c r="G17" s="83" t="s">
        <v>33</v>
      </c>
      <c r="H17" s="84"/>
      <c r="I17" s="11">
        <f>VORN!I25</f>
        <v>0</v>
      </c>
    </row>
    <row r="18" spans="1:9" ht="15.75" x14ac:dyDescent="0.25">
      <c r="A18" s="8" t="s">
        <v>34</v>
      </c>
      <c r="B18" s="9" t="s">
        <v>23</v>
      </c>
      <c r="C18" s="10">
        <f>SUM('Stavební rozpočet'!AF12:AF51)</f>
        <v>0</v>
      </c>
      <c r="D18" s="83" t="s">
        <v>4</v>
      </c>
      <c r="E18" s="84"/>
      <c r="F18" s="11" t="s">
        <v>4</v>
      </c>
      <c r="G18" s="83" t="s">
        <v>35</v>
      </c>
      <c r="H18" s="84"/>
      <c r="I18" s="11">
        <f>VORN!I26</f>
        <v>0</v>
      </c>
    </row>
    <row r="19" spans="1:9" ht="15.75" x14ac:dyDescent="0.25">
      <c r="A19" s="12" t="s">
        <v>4</v>
      </c>
      <c r="B19" s="9" t="s">
        <v>26</v>
      </c>
      <c r="C19" s="10">
        <f>SUM('Stavební rozpočet'!AG12:AG51)</f>
        <v>0</v>
      </c>
      <c r="D19" s="83" t="s">
        <v>4</v>
      </c>
      <c r="E19" s="84"/>
      <c r="F19" s="11" t="s">
        <v>4</v>
      </c>
      <c r="G19" s="83" t="s">
        <v>36</v>
      </c>
      <c r="H19" s="84"/>
      <c r="I19" s="11">
        <f>VORN!I27</f>
        <v>0</v>
      </c>
    </row>
    <row r="20" spans="1:9" ht="15.75" x14ac:dyDescent="0.25">
      <c r="A20" s="75" t="s">
        <v>37</v>
      </c>
      <c r="B20" s="76"/>
      <c r="C20" s="10">
        <f>SUM('Stavební rozpočet'!AH12:AH51)</f>
        <v>0</v>
      </c>
      <c r="D20" s="83" t="s">
        <v>4</v>
      </c>
      <c r="E20" s="84"/>
      <c r="F20" s="11" t="s">
        <v>4</v>
      </c>
      <c r="G20" s="83" t="s">
        <v>4</v>
      </c>
      <c r="H20" s="84"/>
      <c r="I20" s="11" t="s">
        <v>4</v>
      </c>
    </row>
    <row r="21" spans="1:9" ht="15.75" x14ac:dyDescent="0.25">
      <c r="A21" s="90" t="s">
        <v>38</v>
      </c>
      <c r="B21" s="91"/>
      <c r="C21" s="13">
        <f>SUM('Stavební rozpočet'!Z12:Z51)</f>
        <v>0</v>
      </c>
      <c r="D21" s="85" t="s">
        <v>4</v>
      </c>
      <c r="E21" s="86"/>
      <c r="F21" s="14" t="s">
        <v>4</v>
      </c>
      <c r="G21" s="85" t="s">
        <v>4</v>
      </c>
      <c r="H21" s="86"/>
      <c r="I21" s="14" t="s">
        <v>4</v>
      </c>
    </row>
    <row r="22" spans="1:9" ht="16.5" customHeight="1" x14ac:dyDescent="0.25">
      <c r="A22" s="92" t="s">
        <v>39</v>
      </c>
      <c r="B22" s="88"/>
      <c r="C22" s="15">
        <f>SUM(C14:C21)</f>
        <v>0</v>
      </c>
      <c r="D22" s="87" t="s">
        <v>40</v>
      </c>
      <c r="E22" s="88"/>
      <c r="F22" s="15">
        <f>SUM(F14:F21)</f>
        <v>0</v>
      </c>
      <c r="G22" s="87" t="s">
        <v>41</v>
      </c>
      <c r="H22" s="88"/>
      <c r="I22" s="15">
        <f>SUM(I14:I21)</f>
        <v>0</v>
      </c>
    </row>
    <row r="23" spans="1:9" ht="15.75" x14ac:dyDescent="0.25">
      <c r="D23" s="75" t="s">
        <v>42</v>
      </c>
      <c r="E23" s="76"/>
      <c r="F23" s="16">
        <v>0</v>
      </c>
      <c r="G23" s="89" t="s">
        <v>43</v>
      </c>
      <c r="H23" s="76"/>
      <c r="I23" s="10">
        <v>0</v>
      </c>
    </row>
    <row r="24" spans="1:9" ht="15.75" x14ac:dyDescent="0.25">
      <c r="G24" s="75" t="s">
        <v>44</v>
      </c>
      <c r="H24" s="76"/>
      <c r="I24" s="13">
        <f>vorn_sum</f>
        <v>0</v>
      </c>
    </row>
    <row r="25" spans="1:9" ht="15.75" x14ac:dyDescent="0.25">
      <c r="G25" s="75" t="s">
        <v>45</v>
      </c>
      <c r="H25" s="76"/>
      <c r="I25" s="15">
        <v>0</v>
      </c>
    </row>
    <row r="27" spans="1:9" ht="15.75" x14ac:dyDescent="0.25">
      <c r="A27" s="77" t="s">
        <v>46</v>
      </c>
      <c r="B27" s="78"/>
      <c r="C27" s="17">
        <f>SUM('Stavební rozpočet'!AJ12:AJ51)</f>
        <v>0</v>
      </c>
    </row>
    <row r="28" spans="1:9" ht="15.75" x14ac:dyDescent="0.25">
      <c r="A28" s="79" t="s">
        <v>47</v>
      </c>
      <c r="B28" s="80"/>
      <c r="C28" s="18">
        <f>SUM('Stavební rozpočet'!AK12:AK51)</f>
        <v>0</v>
      </c>
      <c r="D28" s="81" t="s">
        <v>48</v>
      </c>
      <c r="E28" s="78"/>
      <c r="F28" s="17">
        <f>ROUND(C28*(12/100),2)</f>
        <v>0</v>
      </c>
      <c r="G28" s="81" t="s">
        <v>49</v>
      </c>
      <c r="H28" s="78"/>
      <c r="I28" s="17">
        <f>SUM(C27:C29)</f>
        <v>0</v>
      </c>
    </row>
    <row r="29" spans="1:9" ht="15.75" x14ac:dyDescent="0.25">
      <c r="A29" s="79" t="s">
        <v>50</v>
      </c>
      <c r="B29" s="80"/>
      <c r="C29" s="18">
        <f>SUM('Stavební rozpočet'!AL12:AL51)+(F22+I22+F23+I23+I24+I25)</f>
        <v>0</v>
      </c>
      <c r="D29" s="82" t="s">
        <v>51</v>
      </c>
      <c r="E29" s="80"/>
      <c r="F29" s="18">
        <f>ROUND(C29*(21/100),2)</f>
        <v>0</v>
      </c>
      <c r="G29" s="82" t="s">
        <v>52</v>
      </c>
      <c r="H29" s="80"/>
      <c r="I29" s="18">
        <f>SUM(F28:F29)+I28</f>
        <v>0</v>
      </c>
    </row>
    <row r="31" spans="1:9" x14ac:dyDescent="0.25">
      <c r="A31" s="72" t="s">
        <v>53</v>
      </c>
      <c r="B31" s="64"/>
      <c r="C31" s="65"/>
      <c r="D31" s="63" t="s">
        <v>54</v>
      </c>
      <c r="E31" s="64"/>
      <c r="F31" s="65"/>
      <c r="G31" s="63" t="s">
        <v>55</v>
      </c>
      <c r="H31" s="64"/>
      <c r="I31" s="65"/>
    </row>
    <row r="32" spans="1:9" x14ac:dyDescent="0.25">
      <c r="A32" s="73" t="s">
        <v>4</v>
      </c>
      <c r="B32" s="67"/>
      <c r="C32" s="68"/>
      <c r="D32" s="66" t="s">
        <v>4</v>
      </c>
      <c r="E32" s="67"/>
      <c r="F32" s="68"/>
      <c r="G32" s="66" t="s">
        <v>4</v>
      </c>
      <c r="H32" s="67"/>
      <c r="I32" s="68"/>
    </row>
    <row r="33" spans="1:9" x14ac:dyDescent="0.25">
      <c r="A33" s="73" t="s">
        <v>4</v>
      </c>
      <c r="B33" s="67"/>
      <c r="C33" s="68"/>
      <c r="D33" s="66" t="s">
        <v>4</v>
      </c>
      <c r="E33" s="67"/>
      <c r="F33" s="68"/>
      <c r="G33" s="66" t="s">
        <v>4</v>
      </c>
      <c r="H33" s="67"/>
      <c r="I33" s="68"/>
    </row>
    <row r="34" spans="1:9" x14ac:dyDescent="0.25">
      <c r="A34" s="73" t="s">
        <v>4</v>
      </c>
      <c r="B34" s="67"/>
      <c r="C34" s="68"/>
      <c r="D34" s="66" t="s">
        <v>4</v>
      </c>
      <c r="E34" s="67"/>
      <c r="F34" s="68"/>
      <c r="G34" s="66" t="s">
        <v>4</v>
      </c>
      <c r="H34" s="67"/>
      <c r="I34" s="68"/>
    </row>
    <row r="35" spans="1:9" x14ac:dyDescent="0.25">
      <c r="A35" s="74" t="s">
        <v>56</v>
      </c>
      <c r="B35" s="70"/>
      <c r="C35" s="71"/>
      <c r="D35" s="69" t="s">
        <v>56</v>
      </c>
      <c r="E35" s="70"/>
      <c r="F35" s="71"/>
      <c r="G35" s="69" t="s">
        <v>56</v>
      </c>
      <c r="H35" s="70"/>
      <c r="I35" s="71"/>
    </row>
    <row r="36" spans="1:9" x14ac:dyDescent="0.25">
      <c r="A36" s="19" t="s">
        <v>57</v>
      </c>
    </row>
    <row r="37" spans="1:9" ht="12.75" customHeight="1" x14ac:dyDescent="0.25">
      <c r="A37" s="61" t="s">
        <v>4</v>
      </c>
      <c r="B37" s="62"/>
      <c r="C37" s="62"/>
      <c r="D37" s="62"/>
      <c r="E37" s="62"/>
      <c r="F37" s="62"/>
      <c r="G37" s="62"/>
      <c r="H37" s="62"/>
      <c r="I37" s="6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54"/>
  <sheetViews>
    <sheetView tabSelected="1" workbookViewId="0">
      <pane ySplit="11" topLeftCell="A23" activePane="bottomLeft" state="frozen"/>
      <selection pane="bottomLeft" activeCell="L35" sqref="L35"/>
    </sheetView>
  </sheetViews>
  <sheetFormatPr defaultColWidth="12.140625" defaultRowHeight="15" customHeight="1" x14ac:dyDescent="0.25"/>
  <cols>
    <col min="1" max="1" width="3.140625" customWidth="1"/>
    <col min="2" max="2" width="17.85546875" customWidth="1"/>
    <col min="3" max="3" width="28.5703125" customWidth="1"/>
    <col min="4" max="4" width="39.5703125" customWidth="1"/>
    <col min="5" max="5" width="4.855468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103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 x14ac:dyDescent="0.25">
      <c r="A2" s="104" t="s">
        <v>1</v>
      </c>
      <c r="B2" s="105"/>
      <c r="C2" s="110" t="s">
        <v>233</v>
      </c>
      <c r="D2" s="111"/>
      <c r="E2" s="105" t="s">
        <v>71</v>
      </c>
      <c r="F2" s="105"/>
      <c r="G2" s="105" t="s">
        <v>72</v>
      </c>
      <c r="H2" s="101" t="s">
        <v>2</v>
      </c>
      <c r="I2" s="101" t="s">
        <v>73</v>
      </c>
      <c r="J2" s="107"/>
    </row>
    <row r="3" spans="1:76" x14ac:dyDescent="0.25">
      <c r="A3" s="106"/>
      <c r="B3" s="62"/>
      <c r="C3" s="112"/>
      <c r="D3" s="112"/>
      <c r="E3" s="62"/>
      <c r="F3" s="62"/>
      <c r="G3" s="62"/>
      <c r="H3" s="62"/>
      <c r="I3" s="62"/>
      <c r="J3" s="108"/>
    </row>
    <row r="4" spans="1:76" x14ac:dyDescent="0.25">
      <c r="A4" s="99" t="s">
        <v>5</v>
      </c>
      <c r="B4" s="62"/>
      <c r="C4" s="61" t="s">
        <v>72</v>
      </c>
      <c r="D4" s="62"/>
      <c r="E4" s="62" t="s">
        <v>9</v>
      </c>
      <c r="F4" s="62"/>
      <c r="G4" s="62" t="s">
        <v>72</v>
      </c>
      <c r="H4" s="61" t="s">
        <v>6</v>
      </c>
      <c r="I4" s="62" t="s">
        <v>74</v>
      </c>
      <c r="J4" s="108"/>
    </row>
    <row r="5" spans="1:76" x14ac:dyDescent="0.25">
      <c r="A5" s="106"/>
      <c r="B5" s="62"/>
      <c r="C5" s="62"/>
      <c r="D5" s="62"/>
      <c r="E5" s="62"/>
      <c r="F5" s="62"/>
      <c r="G5" s="62"/>
      <c r="H5" s="62"/>
      <c r="I5" s="62"/>
      <c r="J5" s="108"/>
    </row>
    <row r="6" spans="1:76" x14ac:dyDescent="0.25">
      <c r="A6" s="99" t="s">
        <v>7</v>
      </c>
      <c r="B6" s="62"/>
      <c r="C6" s="61" t="s">
        <v>234</v>
      </c>
      <c r="D6" s="62"/>
      <c r="E6" s="62" t="s">
        <v>10</v>
      </c>
      <c r="F6" s="62"/>
      <c r="G6" s="62" t="s">
        <v>72</v>
      </c>
      <c r="H6" s="61" t="s">
        <v>8</v>
      </c>
      <c r="I6" s="61"/>
      <c r="J6" s="108"/>
    </row>
    <row r="7" spans="1:76" x14ac:dyDescent="0.25">
      <c r="A7" s="106"/>
      <c r="B7" s="62"/>
      <c r="C7" s="62"/>
      <c r="D7" s="62"/>
      <c r="E7" s="62"/>
      <c r="F7" s="62"/>
      <c r="G7" s="62"/>
      <c r="H7" s="62"/>
      <c r="I7" s="62"/>
      <c r="J7" s="108"/>
    </row>
    <row r="8" spans="1:76" x14ac:dyDescent="0.25">
      <c r="A8" s="99" t="s">
        <v>12</v>
      </c>
      <c r="B8" s="62"/>
      <c r="C8" s="61" t="s">
        <v>72</v>
      </c>
      <c r="D8" s="62"/>
      <c r="E8" s="62" t="s">
        <v>75</v>
      </c>
      <c r="F8" s="62"/>
      <c r="G8" s="62"/>
      <c r="H8" s="61" t="s">
        <v>13</v>
      </c>
      <c r="I8" s="61"/>
      <c r="J8" s="108"/>
    </row>
    <row r="9" spans="1:76" x14ac:dyDescent="0.25">
      <c r="A9" s="123"/>
      <c r="B9" s="122"/>
      <c r="C9" s="122"/>
      <c r="D9" s="122"/>
      <c r="E9" s="122"/>
      <c r="F9" s="122"/>
      <c r="G9" s="122"/>
      <c r="H9" s="122"/>
      <c r="I9" s="98"/>
      <c r="J9" s="94"/>
    </row>
    <row r="10" spans="1:76" x14ac:dyDescent="0.25">
      <c r="A10" s="29" t="s">
        <v>76</v>
      </c>
      <c r="B10" s="30" t="s">
        <v>77</v>
      </c>
      <c r="C10" s="120" t="s">
        <v>78</v>
      </c>
      <c r="D10" s="121"/>
      <c r="E10" s="30" t="s">
        <v>79</v>
      </c>
      <c r="F10" s="31" t="s">
        <v>80</v>
      </c>
      <c r="G10" s="32" t="s">
        <v>81</v>
      </c>
      <c r="H10" s="33" t="s">
        <v>82</v>
      </c>
      <c r="J10" s="34"/>
      <c r="BK10" s="35" t="s">
        <v>83</v>
      </c>
      <c r="BL10" s="36" t="s">
        <v>84</v>
      </c>
      <c r="BW10" s="36" t="s">
        <v>85</v>
      </c>
    </row>
    <row r="11" spans="1:76" x14ac:dyDescent="0.25">
      <c r="A11" s="37" t="s">
        <v>72</v>
      </c>
      <c r="B11" s="38" t="s">
        <v>72</v>
      </c>
      <c r="C11" s="116" t="s">
        <v>86</v>
      </c>
      <c r="D11" s="117"/>
      <c r="E11" s="38" t="s">
        <v>72</v>
      </c>
      <c r="F11" s="38" t="s">
        <v>72</v>
      </c>
      <c r="G11" s="39" t="s">
        <v>87</v>
      </c>
      <c r="H11" s="40" t="s">
        <v>88</v>
      </c>
      <c r="J11" s="41"/>
      <c r="Z11" s="35" t="s">
        <v>89</v>
      </c>
      <c r="AA11" s="35" t="s">
        <v>90</v>
      </c>
      <c r="AB11" s="35" t="s">
        <v>91</v>
      </c>
      <c r="AC11" s="35" t="s">
        <v>92</v>
      </c>
      <c r="AD11" s="35" t="s">
        <v>93</v>
      </c>
      <c r="AE11" s="35" t="s">
        <v>94</v>
      </c>
      <c r="AF11" s="35" t="s">
        <v>95</v>
      </c>
      <c r="AG11" s="35" t="s">
        <v>96</v>
      </c>
      <c r="AH11" s="35" t="s">
        <v>97</v>
      </c>
      <c r="BH11" s="35" t="s">
        <v>98</v>
      </c>
      <c r="BI11" s="35" t="s">
        <v>99</v>
      </c>
      <c r="BJ11" s="35" t="s">
        <v>100</v>
      </c>
    </row>
    <row r="12" spans="1:76" x14ac:dyDescent="0.25">
      <c r="A12" s="42" t="s">
        <v>4</v>
      </c>
      <c r="B12" s="43" t="s">
        <v>101</v>
      </c>
      <c r="C12" s="118" t="s">
        <v>102</v>
      </c>
      <c r="D12" s="119"/>
      <c r="E12" s="44" t="s">
        <v>72</v>
      </c>
      <c r="F12" s="44" t="s">
        <v>72</v>
      </c>
      <c r="G12" s="44" t="s">
        <v>72</v>
      </c>
      <c r="H12" s="45">
        <f>SUM(H13:H13)</f>
        <v>0</v>
      </c>
      <c r="J12" s="41"/>
      <c r="AI12" s="35" t="s">
        <v>4</v>
      </c>
      <c r="AS12" s="28">
        <f>SUM(AJ13:AJ13)</f>
        <v>0</v>
      </c>
      <c r="AT12" s="28">
        <f>SUM(AK13:AK13)</f>
        <v>0</v>
      </c>
      <c r="AU12" s="28">
        <f>SUM(AL13:AL13)</f>
        <v>0</v>
      </c>
    </row>
    <row r="13" spans="1:76" x14ac:dyDescent="0.25">
      <c r="A13" s="1" t="s">
        <v>103</v>
      </c>
      <c r="B13" s="2" t="s">
        <v>104</v>
      </c>
      <c r="C13" s="61" t="s">
        <v>105</v>
      </c>
      <c r="D13" s="62"/>
      <c r="E13" s="2" t="s">
        <v>106</v>
      </c>
      <c r="F13" s="46">
        <v>54</v>
      </c>
      <c r="G13" s="56">
        <v>0</v>
      </c>
      <c r="H13" s="46">
        <f>F13*G13</f>
        <v>0</v>
      </c>
      <c r="J13" s="41"/>
      <c r="Z13" s="46">
        <f>IF(AQ13="5",BJ13,0)</f>
        <v>0</v>
      </c>
      <c r="AB13" s="46">
        <f>IF(AQ13="1",BH13,0)</f>
        <v>0</v>
      </c>
      <c r="AC13" s="46">
        <f>IF(AQ13="1",BI13,0)</f>
        <v>0</v>
      </c>
      <c r="AD13" s="46">
        <f>IF(AQ13="7",BH13,0)</f>
        <v>0</v>
      </c>
      <c r="AE13" s="46">
        <f>IF(AQ13="7",BI13,0)</f>
        <v>0</v>
      </c>
      <c r="AF13" s="46">
        <f>IF(AQ13="2",BH13,0)</f>
        <v>0</v>
      </c>
      <c r="AG13" s="46">
        <f>IF(AQ13="2",BI13,0)</f>
        <v>0</v>
      </c>
      <c r="AH13" s="46">
        <f>IF(AQ13="0",BJ13,0)</f>
        <v>0</v>
      </c>
      <c r="AI13" s="35" t="s">
        <v>4</v>
      </c>
      <c r="AJ13" s="46">
        <f>IF(AN13=0,H13,0)</f>
        <v>0</v>
      </c>
      <c r="AK13" s="46">
        <f>IF(AN13=12,H13,0)</f>
        <v>0</v>
      </c>
      <c r="AL13" s="46">
        <f>IF(AN13=21,H13,0)</f>
        <v>0</v>
      </c>
      <c r="AN13" s="46">
        <v>21</v>
      </c>
      <c r="AO13" s="46">
        <f>G13*0.706618625</f>
        <v>0</v>
      </c>
      <c r="AP13" s="46">
        <f>G13*(1-0.706618625)</f>
        <v>0</v>
      </c>
      <c r="AQ13" s="47" t="s">
        <v>103</v>
      </c>
      <c r="AV13" s="46">
        <f>AW13+AX13</f>
        <v>0</v>
      </c>
      <c r="AW13" s="46">
        <f>F13*AO13</f>
        <v>0</v>
      </c>
      <c r="AX13" s="46">
        <f>F13*AP13</f>
        <v>0</v>
      </c>
      <c r="AY13" s="47" t="s">
        <v>107</v>
      </c>
      <c r="AZ13" s="47" t="s">
        <v>108</v>
      </c>
      <c r="BA13" s="35" t="s">
        <v>109</v>
      </c>
      <c r="BC13" s="46">
        <f>AW13+AX13</f>
        <v>0</v>
      </c>
      <c r="BD13" s="46">
        <f>G13/(100-BE13)*100</f>
        <v>0</v>
      </c>
      <c r="BE13" s="46">
        <v>0</v>
      </c>
      <c r="BF13" s="46">
        <f>13</f>
        <v>13</v>
      </c>
      <c r="BH13" s="46">
        <f>F13*AO13</f>
        <v>0</v>
      </c>
      <c r="BI13" s="46">
        <f>F13*AP13</f>
        <v>0</v>
      </c>
      <c r="BJ13" s="46">
        <f>F13*G13</f>
        <v>0</v>
      </c>
      <c r="BK13" s="46"/>
      <c r="BL13" s="46">
        <v>31</v>
      </c>
      <c r="BW13" s="46">
        <v>21</v>
      </c>
      <c r="BX13" s="3" t="s">
        <v>105</v>
      </c>
    </row>
    <row r="14" spans="1:76" x14ac:dyDescent="0.25">
      <c r="A14" s="48" t="s">
        <v>4</v>
      </c>
      <c r="B14" s="49" t="s">
        <v>110</v>
      </c>
      <c r="C14" s="114" t="s">
        <v>111</v>
      </c>
      <c r="D14" s="115"/>
      <c r="E14" s="50" t="s">
        <v>72</v>
      </c>
      <c r="F14" s="50" t="s">
        <v>72</v>
      </c>
      <c r="G14" s="50" t="s">
        <v>72</v>
      </c>
      <c r="H14" s="28">
        <f>SUM(H15:H20)</f>
        <v>0</v>
      </c>
      <c r="J14" s="41"/>
      <c r="AI14" s="35" t="s">
        <v>4</v>
      </c>
      <c r="AS14" s="28">
        <f>SUM(AJ15:AJ20)</f>
        <v>0</v>
      </c>
      <c r="AT14" s="28">
        <f>SUM(AK15:AK20)</f>
        <v>0</v>
      </c>
      <c r="AU14" s="28">
        <f>SUM(AL15:AL20)</f>
        <v>0</v>
      </c>
    </row>
    <row r="15" spans="1:76" ht="25.5" x14ac:dyDescent="0.25">
      <c r="A15" s="1" t="s">
        <v>112</v>
      </c>
      <c r="B15" s="2" t="s">
        <v>113</v>
      </c>
      <c r="C15" s="61" t="s">
        <v>114</v>
      </c>
      <c r="D15" s="62"/>
      <c r="E15" s="2" t="s">
        <v>106</v>
      </c>
      <c r="F15" s="46">
        <v>5.4</v>
      </c>
      <c r="G15" s="56">
        <v>0</v>
      </c>
      <c r="H15" s="46">
        <f t="shared" ref="H15:H20" si="0">F15*G15</f>
        <v>0</v>
      </c>
      <c r="J15" s="41"/>
      <c r="Z15" s="46">
        <f t="shared" ref="Z15:Z20" si="1">IF(AQ15="5",BJ15,0)</f>
        <v>0</v>
      </c>
      <c r="AB15" s="46">
        <f t="shared" ref="AB15:AB20" si="2">IF(AQ15="1",BH15,0)</f>
        <v>0</v>
      </c>
      <c r="AC15" s="46">
        <f t="shared" ref="AC15:AC20" si="3">IF(AQ15="1",BI15,0)</f>
        <v>0</v>
      </c>
      <c r="AD15" s="46">
        <f t="shared" ref="AD15:AD20" si="4">IF(AQ15="7",BH15,0)</f>
        <v>0</v>
      </c>
      <c r="AE15" s="46">
        <f t="shared" ref="AE15:AE20" si="5">IF(AQ15="7",BI15,0)</f>
        <v>0</v>
      </c>
      <c r="AF15" s="46">
        <f t="shared" ref="AF15:AF20" si="6">IF(AQ15="2",BH15,0)</f>
        <v>0</v>
      </c>
      <c r="AG15" s="46">
        <f t="shared" ref="AG15:AG20" si="7">IF(AQ15="2",BI15,0)</f>
        <v>0</v>
      </c>
      <c r="AH15" s="46">
        <f t="shared" ref="AH15:AH20" si="8">IF(AQ15="0",BJ15,0)</f>
        <v>0</v>
      </c>
      <c r="AI15" s="35" t="s">
        <v>4</v>
      </c>
      <c r="AJ15" s="46">
        <f t="shared" ref="AJ15:AJ20" si="9">IF(AN15=0,H15,0)</f>
        <v>0</v>
      </c>
      <c r="AK15" s="46">
        <f t="shared" ref="AK15:AK20" si="10">IF(AN15=12,H15,0)</f>
        <v>0</v>
      </c>
      <c r="AL15" s="46">
        <f t="shared" ref="AL15:AL20" si="11">IF(AN15=21,H15,0)</f>
        <v>0</v>
      </c>
      <c r="AN15" s="46">
        <v>21</v>
      </c>
      <c r="AO15" s="46">
        <f>G15*0</f>
        <v>0</v>
      </c>
      <c r="AP15" s="46">
        <f>G15*(1-0)</f>
        <v>0</v>
      </c>
      <c r="AQ15" s="47" t="s">
        <v>115</v>
      </c>
      <c r="AV15" s="46">
        <f t="shared" ref="AV15:AV20" si="12">AW15+AX15</f>
        <v>0</v>
      </c>
      <c r="AW15" s="46">
        <f t="shared" ref="AW15:AW20" si="13">F15*AO15</f>
        <v>0</v>
      </c>
      <c r="AX15" s="46">
        <f t="shared" ref="AX15:AX20" si="14">F15*AP15</f>
        <v>0</v>
      </c>
      <c r="AY15" s="47" t="s">
        <v>116</v>
      </c>
      <c r="AZ15" s="47" t="s">
        <v>117</v>
      </c>
      <c r="BA15" s="35" t="s">
        <v>109</v>
      </c>
      <c r="BC15" s="46">
        <f t="shared" ref="BC15:BC20" si="15">AW15+AX15</f>
        <v>0</v>
      </c>
      <c r="BD15" s="46">
        <f t="shared" ref="BD15:BD20" si="16">G15/(100-BE15)*100</f>
        <v>0</v>
      </c>
      <c r="BE15" s="46">
        <v>0</v>
      </c>
      <c r="BF15" s="46">
        <f>15</f>
        <v>15</v>
      </c>
      <c r="BH15" s="46">
        <f t="shared" ref="BH15:BH20" si="17">F15*AO15</f>
        <v>0</v>
      </c>
      <c r="BI15" s="46">
        <f t="shared" ref="BI15:BI20" si="18">F15*AP15</f>
        <v>0</v>
      </c>
      <c r="BJ15" s="46">
        <f t="shared" ref="BJ15:BJ20" si="19">F15*G15</f>
        <v>0</v>
      </c>
      <c r="BK15" s="46"/>
      <c r="BL15" s="46">
        <v>711</v>
      </c>
      <c r="BW15" s="46">
        <v>21</v>
      </c>
      <c r="BX15" s="3" t="s">
        <v>114</v>
      </c>
    </row>
    <row r="16" spans="1:76" ht="25.5" x14ac:dyDescent="0.25">
      <c r="A16" s="1" t="s">
        <v>118</v>
      </c>
      <c r="B16" s="2" t="s">
        <v>119</v>
      </c>
      <c r="C16" s="61" t="s">
        <v>120</v>
      </c>
      <c r="D16" s="62"/>
      <c r="E16" s="2" t="s">
        <v>106</v>
      </c>
      <c r="F16" s="46">
        <v>5.4</v>
      </c>
      <c r="G16" s="56">
        <v>0</v>
      </c>
      <c r="H16" s="46">
        <f t="shared" si="0"/>
        <v>0</v>
      </c>
      <c r="J16" s="41"/>
      <c r="Z16" s="46">
        <f t="shared" si="1"/>
        <v>0</v>
      </c>
      <c r="AB16" s="46">
        <f t="shared" si="2"/>
        <v>0</v>
      </c>
      <c r="AC16" s="46">
        <f t="shared" si="3"/>
        <v>0</v>
      </c>
      <c r="AD16" s="46">
        <f t="shared" si="4"/>
        <v>0</v>
      </c>
      <c r="AE16" s="46">
        <f t="shared" si="5"/>
        <v>0</v>
      </c>
      <c r="AF16" s="46">
        <f t="shared" si="6"/>
        <v>0</v>
      </c>
      <c r="AG16" s="46">
        <f t="shared" si="7"/>
        <v>0</v>
      </c>
      <c r="AH16" s="46">
        <f t="shared" si="8"/>
        <v>0</v>
      </c>
      <c r="AI16" s="35" t="s">
        <v>4</v>
      </c>
      <c r="AJ16" s="46">
        <f t="shared" si="9"/>
        <v>0</v>
      </c>
      <c r="AK16" s="46">
        <f t="shared" si="10"/>
        <v>0</v>
      </c>
      <c r="AL16" s="46">
        <f t="shared" si="11"/>
        <v>0</v>
      </c>
      <c r="AN16" s="46">
        <v>21</v>
      </c>
      <c r="AO16" s="46">
        <f>G16*0.624093264</f>
        <v>0</v>
      </c>
      <c r="AP16" s="46">
        <f>G16*(1-0.624093264)</f>
        <v>0</v>
      </c>
      <c r="AQ16" s="47" t="s">
        <v>115</v>
      </c>
      <c r="AV16" s="46">
        <f t="shared" si="12"/>
        <v>0</v>
      </c>
      <c r="AW16" s="46">
        <f t="shared" si="13"/>
        <v>0</v>
      </c>
      <c r="AX16" s="46">
        <f t="shared" si="14"/>
        <v>0</v>
      </c>
      <c r="AY16" s="47" t="s">
        <v>116</v>
      </c>
      <c r="AZ16" s="47" t="s">
        <v>117</v>
      </c>
      <c r="BA16" s="35" t="s">
        <v>109</v>
      </c>
      <c r="BC16" s="46">
        <f t="shared" si="15"/>
        <v>0</v>
      </c>
      <c r="BD16" s="46">
        <f t="shared" si="16"/>
        <v>0</v>
      </c>
      <c r="BE16" s="46">
        <v>0</v>
      </c>
      <c r="BF16" s="46">
        <f>16</f>
        <v>16</v>
      </c>
      <c r="BH16" s="46">
        <f t="shared" si="17"/>
        <v>0</v>
      </c>
      <c r="BI16" s="46">
        <f t="shared" si="18"/>
        <v>0</v>
      </c>
      <c r="BJ16" s="46">
        <f t="shared" si="19"/>
        <v>0</v>
      </c>
      <c r="BK16" s="46"/>
      <c r="BL16" s="46">
        <v>711</v>
      </c>
      <c r="BW16" s="46">
        <v>21</v>
      </c>
      <c r="BX16" s="3" t="s">
        <v>120</v>
      </c>
    </row>
    <row r="17" spans="1:76" ht="25.5" x14ac:dyDescent="0.25">
      <c r="A17" s="1" t="s">
        <v>121</v>
      </c>
      <c r="B17" s="2" t="s">
        <v>122</v>
      </c>
      <c r="C17" s="61" t="s">
        <v>123</v>
      </c>
      <c r="D17" s="62"/>
      <c r="E17" s="2" t="s">
        <v>106</v>
      </c>
      <c r="F17" s="46">
        <v>5.4</v>
      </c>
      <c r="G17" s="56">
        <v>0</v>
      </c>
      <c r="H17" s="46">
        <f t="shared" si="0"/>
        <v>0</v>
      </c>
      <c r="J17" s="41"/>
      <c r="Z17" s="46">
        <f t="shared" si="1"/>
        <v>0</v>
      </c>
      <c r="AB17" s="46">
        <f t="shared" si="2"/>
        <v>0</v>
      </c>
      <c r="AC17" s="46">
        <f t="shared" si="3"/>
        <v>0</v>
      </c>
      <c r="AD17" s="46">
        <f t="shared" si="4"/>
        <v>0</v>
      </c>
      <c r="AE17" s="46">
        <f t="shared" si="5"/>
        <v>0</v>
      </c>
      <c r="AF17" s="46">
        <f t="shared" si="6"/>
        <v>0</v>
      </c>
      <c r="AG17" s="46">
        <f t="shared" si="7"/>
        <v>0</v>
      </c>
      <c r="AH17" s="46">
        <f t="shared" si="8"/>
        <v>0</v>
      </c>
      <c r="AI17" s="35" t="s">
        <v>4</v>
      </c>
      <c r="AJ17" s="46">
        <f t="shared" si="9"/>
        <v>0</v>
      </c>
      <c r="AK17" s="46">
        <f t="shared" si="10"/>
        <v>0</v>
      </c>
      <c r="AL17" s="46">
        <f t="shared" si="11"/>
        <v>0</v>
      </c>
      <c r="AN17" s="46">
        <v>21</v>
      </c>
      <c r="AO17" s="46">
        <f>G17*0.799238411</f>
        <v>0</v>
      </c>
      <c r="AP17" s="46">
        <f>G17*(1-0.799238411)</f>
        <v>0</v>
      </c>
      <c r="AQ17" s="47" t="s">
        <v>115</v>
      </c>
      <c r="AV17" s="46">
        <f t="shared" si="12"/>
        <v>0</v>
      </c>
      <c r="AW17" s="46">
        <f t="shared" si="13"/>
        <v>0</v>
      </c>
      <c r="AX17" s="46">
        <f t="shared" si="14"/>
        <v>0</v>
      </c>
      <c r="AY17" s="47" t="s">
        <v>116</v>
      </c>
      <c r="AZ17" s="47" t="s">
        <v>117</v>
      </c>
      <c r="BA17" s="35" t="s">
        <v>109</v>
      </c>
      <c r="BC17" s="46">
        <f t="shared" si="15"/>
        <v>0</v>
      </c>
      <c r="BD17" s="46">
        <f t="shared" si="16"/>
        <v>0</v>
      </c>
      <c r="BE17" s="46">
        <v>0</v>
      </c>
      <c r="BF17" s="46">
        <f>17</f>
        <v>17</v>
      </c>
      <c r="BH17" s="46">
        <f t="shared" si="17"/>
        <v>0</v>
      </c>
      <c r="BI17" s="46">
        <f t="shared" si="18"/>
        <v>0</v>
      </c>
      <c r="BJ17" s="46">
        <f t="shared" si="19"/>
        <v>0</v>
      </c>
      <c r="BK17" s="46"/>
      <c r="BL17" s="46">
        <v>711</v>
      </c>
      <c r="BW17" s="46">
        <v>21</v>
      </c>
      <c r="BX17" s="3" t="s">
        <v>123</v>
      </c>
    </row>
    <row r="18" spans="1:76" ht="25.5" x14ac:dyDescent="0.25">
      <c r="A18" s="1" t="s">
        <v>124</v>
      </c>
      <c r="B18" s="2" t="s">
        <v>125</v>
      </c>
      <c r="C18" s="61" t="s">
        <v>126</v>
      </c>
      <c r="D18" s="62"/>
      <c r="E18" s="2" t="s">
        <v>106</v>
      </c>
      <c r="F18" s="46">
        <v>1.2</v>
      </c>
      <c r="G18" s="56">
        <v>0</v>
      </c>
      <c r="H18" s="46">
        <f t="shared" si="0"/>
        <v>0</v>
      </c>
      <c r="J18" s="41"/>
      <c r="Z18" s="46">
        <f t="shared" si="1"/>
        <v>0</v>
      </c>
      <c r="AB18" s="46">
        <f t="shared" si="2"/>
        <v>0</v>
      </c>
      <c r="AC18" s="46">
        <f t="shared" si="3"/>
        <v>0</v>
      </c>
      <c r="AD18" s="46">
        <f t="shared" si="4"/>
        <v>0</v>
      </c>
      <c r="AE18" s="46">
        <f t="shared" si="5"/>
        <v>0</v>
      </c>
      <c r="AF18" s="46">
        <f t="shared" si="6"/>
        <v>0</v>
      </c>
      <c r="AG18" s="46">
        <f t="shared" si="7"/>
        <v>0</v>
      </c>
      <c r="AH18" s="46">
        <f t="shared" si="8"/>
        <v>0</v>
      </c>
      <c r="AI18" s="35" t="s">
        <v>4</v>
      </c>
      <c r="AJ18" s="46">
        <f t="shared" si="9"/>
        <v>0</v>
      </c>
      <c r="AK18" s="46">
        <f t="shared" si="10"/>
        <v>0</v>
      </c>
      <c r="AL18" s="46">
        <f t="shared" si="11"/>
        <v>0</v>
      </c>
      <c r="AN18" s="46">
        <v>21</v>
      </c>
      <c r="AO18" s="46">
        <f>G18*0.637992662</f>
        <v>0</v>
      </c>
      <c r="AP18" s="46">
        <f>G18*(1-0.637992662)</f>
        <v>0</v>
      </c>
      <c r="AQ18" s="47" t="s">
        <v>115</v>
      </c>
      <c r="AV18" s="46">
        <f t="shared" si="12"/>
        <v>0</v>
      </c>
      <c r="AW18" s="46">
        <f t="shared" si="13"/>
        <v>0</v>
      </c>
      <c r="AX18" s="46">
        <f t="shared" si="14"/>
        <v>0</v>
      </c>
      <c r="AY18" s="47" t="s">
        <v>116</v>
      </c>
      <c r="AZ18" s="47" t="s">
        <v>117</v>
      </c>
      <c r="BA18" s="35" t="s">
        <v>109</v>
      </c>
      <c r="BC18" s="46">
        <f t="shared" si="15"/>
        <v>0</v>
      </c>
      <c r="BD18" s="46">
        <f t="shared" si="16"/>
        <v>0</v>
      </c>
      <c r="BE18" s="46">
        <v>0</v>
      </c>
      <c r="BF18" s="46">
        <f>18</f>
        <v>18</v>
      </c>
      <c r="BH18" s="46">
        <f t="shared" si="17"/>
        <v>0</v>
      </c>
      <c r="BI18" s="46">
        <f t="shared" si="18"/>
        <v>0</v>
      </c>
      <c r="BJ18" s="46">
        <f t="shared" si="19"/>
        <v>0</v>
      </c>
      <c r="BK18" s="46"/>
      <c r="BL18" s="46">
        <v>711</v>
      </c>
      <c r="BW18" s="46">
        <v>21</v>
      </c>
      <c r="BX18" s="3" t="s">
        <v>126</v>
      </c>
    </row>
    <row r="19" spans="1:76" ht="25.5" x14ac:dyDescent="0.25">
      <c r="A19" s="1" t="s">
        <v>127</v>
      </c>
      <c r="B19" s="2" t="s">
        <v>128</v>
      </c>
      <c r="C19" s="61" t="s">
        <v>129</v>
      </c>
      <c r="D19" s="62"/>
      <c r="E19" s="2" t="s">
        <v>106</v>
      </c>
      <c r="F19" s="46">
        <v>1.2</v>
      </c>
      <c r="G19" s="56">
        <v>0</v>
      </c>
      <c r="H19" s="46">
        <f t="shared" si="0"/>
        <v>0</v>
      </c>
      <c r="J19" s="41"/>
      <c r="Z19" s="46">
        <f t="shared" si="1"/>
        <v>0</v>
      </c>
      <c r="AB19" s="46">
        <f t="shared" si="2"/>
        <v>0</v>
      </c>
      <c r="AC19" s="46">
        <f t="shared" si="3"/>
        <v>0</v>
      </c>
      <c r="AD19" s="46">
        <f t="shared" si="4"/>
        <v>0</v>
      </c>
      <c r="AE19" s="46">
        <f t="shared" si="5"/>
        <v>0</v>
      </c>
      <c r="AF19" s="46">
        <f t="shared" si="6"/>
        <v>0</v>
      </c>
      <c r="AG19" s="46">
        <f t="shared" si="7"/>
        <v>0</v>
      </c>
      <c r="AH19" s="46">
        <f t="shared" si="8"/>
        <v>0</v>
      </c>
      <c r="AI19" s="35" t="s">
        <v>4</v>
      </c>
      <c r="AJ19" s="46">
        <f t="shared" si="9"/>
        <v>0</v>
      </c>
      <c r="AK19" s="46">
        <f t="shared" si="10"/>
        <v>0</v>
      </c>
      <c r="AL19" s="46">
        <f t="shared" si="11"/>
        <v>0</v>
      </c>
      <c r="AN19" s="46">
        <v>21</v>
      </c>
      <c r="AO19" s="46">
        <f>G19*0.784074074</f>
        <v>0</v>
      </c>
      <c r="AP19" s="46">
        <f>G19*(1-0.784074074)</f>
        <v>0</v>
      </c>
      <c r="AQ19" s="47" t="s">
        <v>115</v>
      </c>
      <c r="AV19" s="46">
        <f t="shared" si="12"/>
        <v>0</v>
      </c>
      <c r="AW19" s="46">
        <f t="shared" si="13"/>
        <v>0</v>
      </c>
      <c r="AX19" s="46">
        <f t="shared" si="14"/>
        <v>0</v>
      </c>
      <c r="AY19" s="47" t="s">
        <v>116</v>
      </c>
      <c r="AZ19" s="47" t="s">
        <v>117</v>
      </c>
      <c r="BA19" s="35" t="s">
        <v>109</v>
      </c>
      <c r="BC19" s="46">
        <f t="shared" si="15"/>
        <v>0</v>
      </c>
      <c r="BD19" s="46">
        <f t="shared" si="16"/>
        <v>0</v>
      </c>
      <c r="BE19" s="46">
        <v>0</v>
      </c>
      <c r="BF19" s="46">
        <f>19</f>
        <v>19</v>
      </c>
      <c r="BH19" s="46">
        <f t="shared" si="17"/>
        <v>0</v>
      </c>
      <c r="BI19" s="46">
        <f t="shared" si="18"/>
        <v>0</v>
      </c>
      <c r="BJ19" s="46">
        <f t="shared" si="19"/>
        <v>0</v>
      </c>
      <c r="BK19" s="46"/>
      <c r="BL19" s="46">
        <v>711</v>
      </c>
      <c r="BW19" s="46">
        <v>21</v>
      </c>
      <c r="BX19" s="3" t="s">
        <v>129</v>
      </c>
    </row>
    <row r="20" spans="1:76" x14ac:dyDescent="0.25">
      <c r="A20" s="1" t="s">
        <v>115</v>
      </c>
      <c r="B20" s="2" t="s">
        <v>130</v>
      </c>
      <c r="C20" s="61" t="s">
        <v>131</v>
      </c>
      <c r="D20" s="62"/>
      <c r="E20" s="2" t="s">
        <v>106</v>
      </c>
      <c r="F20" s="46">
        <v>1.2</v>
      </c>
      <c r="G20" s="56">
        <v>0</v>
      </c>
      <c r="H20" s="46">
        <f t="shared" si="0"/>
        <v>0</v>
      </c>
      <c r="J20" s="41"/>
      <c r="Z20" s="46">
        <f t="shared" si="1"/>
        <v>0</v>
      </c>
      <c r="AB20" s="46">
        <f t="shared" si="2"/>
        <v>0</v>
      </c>
      <c r="AC20" s="46">
        <f t="shared" si="3"/>
        <v>0</v>
      </c>
      <c r="AD20" s="46">
        <f t="shared" si="4"/>
        <v>0</v>
      </c>
      <c r="AE20" s="46">
        <f t="shared" si="5"/>
        <v>0</v>
      </c>
      <c r="AF20" s="46">
        <f t="shared" si="6"/>
        <v>0</v>
      </c>
      <c r="AG20" s="46">
        <f t="shared" si="7"/>
        <v>0</v>
      </c>
      <c r="AH20" s="46">
        <f t="shared" si="8"/>
        <v>0</v>
      </c>
      <c r="AI20" s="35" t="s">
        <v>4</v>
      </c>
      <c r="AJ20" s="46">
        <f t="shared" si="9"/>
        <v>0</v>
      </c>
      <c r="AK20" s="46">
        <f t="shared" si="10"/>
        <v>0</v>
      </c>
      <c r="AL20" s="46">
        <f t="shared" si="11"/>
        <v>0</v>
      </c>
      <c r="AN20" s="46">
        <v>21</v>
      </c>
      <c r="AO20" s="46">
        <f>G20*0.232817054</f>
        <v>0</v>
      </c>
      <c r="AP20" s="46">
        <f>G20*(1-0.232817054)</f>
        <v>0</v>
      </c>
      <c r="AQ20" s="47" t="s">
        <v>115</v>
      </c>
      <c r="AV20" s="46">
        <f t="shared" si="12"/>
        <v>0</v>
      </c>
      <c r="AW20" s="46">
        <f t="shared" si="13"/>
        <v>0</v>
      </c>
      <c r="AX20" s="46">
        <f t="shared" si="14"/>
        <v>0</v>
      </c>
      <c r="AY20" s="47" t="s">
        <v>116</v>
      </c>
      <c r="AZ20" s="47" t="s">
        <v>117</v>
      </c>
      <c r="BA20" s="35" t="s">
        <v>109</v>
      </c>
      <c r="BC20" s="46">
        <f t="shared" si="15"/>
        <v>0</v>
      </c>
      <c r="BD20" s="46">
        <f t="shared" si="16"/>
        <v>0</v>
      </c>
      <c r="BE20" s="46">
        <v>0</v>
      </c>
      <c r="BF20" s="46">
        <f>20</f>
        <v>20</v>
      </c>
      <c r="BH20" s="46">
        <f t="shared" si="17"/>
        <v>0</v>
      </c>
      <c r="BI20" s="46">
        <f t="shared" si="18"/>
        <v>0</v>
      </c>
      <c r="BJ20" s="46">
        <f t="shared" si="19"/>
        <v>0</v>
      </c>
      <c r="BK20" s="46"/>
      <c r="BL20" s="46">
        <v>711</v>
      </c>
      <c r="BW20" s="46">
        <v>21</v>
      </c>
      <c r="BX20" s="3" t="s">
        <v>131</v>
      </c>
    </row>
    <row r="21" spans="1:76" x14ac:dyDescent="0.25">
      <c r="A21" s="48" t="s">
        <v>4</v>
      </c>
      <c r="B21" s="49" t="s">
        <v>132</v>
      </c>
      <c r="C21" s="114" t="s">
        <v>133</v>
      </c>
      <c r="D21" s="115"/>
      <c r="E21" s="50" t="s">
        <v>72</v>
      </c>
      <c r="F21" s="50" t="s">
        <v>72</v>
      </c>
      <c r="G21" s="50" t="s">
        <v>72</v>
      </c>
      <c r="H21" s="28">
        <f>SUM(H22:H22)</f>
        <v>0</v>
      </c>
      <c r="J21" s="41"/>
      <c r="AI21" s="35" t="s">
        <v>4</v>
      </c>
      <c r="AS21" s="28">
        <f>SUM(AJ22:AJ22)</f>
        <v>0</v>
      </c>
      <c r="AT21" s="28">
        <f>SUM(AK22:AK22)</f>
        <v>0</v>
      </c>
      <c r="AU21" s="28">
        <f>SUM(AL22:AL22)</f>
        <v>0</v>
      </c>
    </row>
    <row r="22" spans="1:76" x14ac:dyDescent="0.25">
      <c r="A22" s="1" t="s">
        <v>134</v>
      </c>
      <c r="B22" s="2" t="s">
        <v>135</v>
      </c>
      <c r="C22" s="61" t="s">
        <v>136</v>
      </c>
      <c r="D22" s="62"/>
      <c r="E22" s="2" t="s">
        <v>137</v>
      </c>
      <c r="F22" s="46">
        <v>1</v>
      </c>
      <c r="G22" s="56">
        <v>0</v>
      </c>
      <c r="H22" s="46">
        <f>F22*G22</f>
        <v>0</v>
      </c>
      <c r="J22" s="41"/>
      <c r="Z22" s="46">
        <f>IF(AQ22="5",BJ22,0)</f>
        <v>0</v>
      </c>
      <c r="AB22" s="46">
        <f>IF(AQ22="1",BH22,0)</f>
        <v>0</v>
      </c>
      <c r="AC22" s="46">
        <f>IF(AQ22="1",BI22,0)</f>
        <v>0</v>
      </c>
      <c r="AD22" s="46">
        <f>IF(AQ22="7",BH22,0)</f>
        <v>0</v>
      </c>
      <c r="AE22" s="46">
        <f>IF(AQ22="7",BI22,0)</f>
        <v>0</v>
      </c>
      <c r="AF22" s="46">
        <f>IF(AQ22="2",BH22,0)</f>
        <v>0</v>
      </c>
      <c r="AG22" s="46">
        <f>IF(AQ22="2",BI22,0)</f>
        <v>0</v>
      </c>
      <c r="AH22" s="46">
        <f>IF(AQ22="0",BJ22,0)</f>
        <v>0</v>
      </c>
      <c r="AI22" s="35" t="s">
        <v>4</v>
      </c>
      <c r="AJ22" s="46">
        <f>IF(AN22=0,H22,0)</f>
        <v>0</v>
      </c>
      <c r="AK22" s="46">
        <f>IF(AN22=12,H22,0)</f>
        <v>0</v>
      </c>
      <c r="AL22" s="46">
        <f>IF(AN22=21,H22,0)</f>
        <v>0</v>
      </c>
      <c r="AN22" s="46">
        <v>21</v>
      </c>
      <c r="AO22" s="46">
        <f>G22*0.125609767</f>
        <v>0</v>
      </c>
      <c r="AP22" s="46">
        <f>G22*(1-0.125609767)</f>
        <v>0</v>
      </c>
      <c r="AQ22" s="47" t="s">
        <v>115</v>
      </c>
      <c r="AV22" s="46">
        <f>AW22+AX22</f>
        <v>0</v>
      </c>
      <c r="AW22" s="46">
        <f>F22*AO22</f>
        <v>0</v>
      </c>
      <c r="AX22" s="46">
        <f>F22*AP22</f>
        <v>0</v>
      </c>
      <c r="AY22" s="47" t="s">
        <v>138</v>
      </c>
      <c r="AZ22" s="47" t="s">
        <v>139</v>
      </c>
      <c r="BA22" s="35" t="s">
        <v>109</v>
      </c>
      <c r="BC22" s="46">
        <f>AW22+AX22</f>
        <v>0</v>
      </c>
      <c r="BD22" s="46">
        <f>G22/(100-BE22)*100</f>
        <v>0</v>
      </c>
      <c r="BE22" s="46">
        <v>0</v>
      </c>
      <c r="BF22" s="46">
        <f>22</f>
        <v>22</v>
      </c>
      <c r="BH22" s="46">
        <f>F22*AO22</f>
        <v>0</v>
      </c>
      <c r="BI22" s="46">
        <f>F22*AP22</f>
        <v>0</v>
      </c>
      <c r="BJ22" s="46">
        <f>F22*G22</f>
        <v>0</v>
      </c>
      <c r="BK22" s="46"/>
      <c r="BL22" s="46">
        <v>762</v>
      </c>
      <c r="BW22" s="46">
        <v>21</v>
      </c>
      <c r="BX22" s="3" t="s">
        <v>136</v>
      </c>
    </row>
    <row r="23" spans="1:76" x14ac:dyDescent="0.25">
      <c r="A23" s="48" t="s">
        <v>4</v>
      </c>
      <c r="B23" s="49" t="s">
        <v>140</v>
      </c>
      <c r="C23" s="114" t="s">
        <v>141</v>
      </c>
      <c r="D23" s="115"/>
      <c r="E23" s="50" t="s">
        <v>72</v>
      </c>
      <c r="F23" s="50" t="s">
        <v>72</v>
      </c>
      <c r="G23" s="50" t="s">
        <v>72</v>
      </c>
      <c r="H23" s="28">
        <f>SUM(H24:H24)</f>
        <v>0</v>
      </c>
      <c r="J23" s="41"/>
      <c r="AI23" s="35" t="s">
        <v>4</v>
      </c>
      <c r="AS23" s="28">
        <f>SUM(AJ24:AJ24)</f>
        <v>0</v>
      </c>
      <c r="AT23" s="28">
        <f>SUM(AK24:AK24)</f>
        <v>0</v>
      </c>
      <c r="AU23" s="28">
        <f>SUM(AL24:AL24)</f>
        <v>0</v>
      </c>
    </row>
    <row r="24" spans="1:76" x14ac:dyDescent="0.25">
      <c r="A24" s="1" t="s">
        <v>142</v>
      </c>
      <c r="B24" s="2" t="s">
        <v>143</v>
      </c>
      <c r="C24" s="61" t="s">
        <v>144</v>
      </c>
      <c r="D24" s="62"/>
      <c r="E24" s="2" t="s">
        <v>145</v>
      </c>
      <c r="F24" s="46">
        <v>36.299999999999997</v>
      </c>
      <c r="G24" s="56">
        <v>0</v>
      </c>
      <c r="H24" s="46">
        <f>F24*G24</f>
        <v>0</v>
      </c>
      <c r="J24" s="41"/>
      <c r="Z24" s="46">
        <f>IF(AQ24="5",BJ24,0)</f>
        <v>0</v>
      </c>
      <c r="AB24" s="46">
        <f>IF(AQ24="1",BH24,0)</f>
        <v>0</v>
      </c>
      <c r="AC24" s="46">
        <f>IF(AQ24="1",BI24,0)</f>
        <v>0</v>
      </c>
      <c r="AD24" s="46">
        <f>IF(AQ24="7",BH24,0)</f>
        <v>0</v>
      </c>
      <c r="AE24" s="46">
        <f>IF(AQ24="7",BI24,0)</f>
        <v>0</v>
      </c>
      <c r="AF24" s="46">
        <f>IF(AQ24="2",BH24,0)</f>
        <v>0</v>
      </c>
      <c r="AG24" s="46">
        <f>IF(AQ24="2",BI24,0)</f>
        <v>0</v>
      </c>
      <c r="AH24" s="46">
        <f>IF(AQ24="0",BJ24,0)</f>
        <v>0</v>
      </c>
      <c r="AI24" s="35" t="s">
        <v>4</v>
      </c>
      <c r="AJ24" s="46">
        <f>IF(AN24=0,H24,0)</f>
        <v>0</v>
      </c>
      <c r="AK24" s="46">
        <f>IF(AN24=12,H24,0)</f>
        <v>0</v>
      </c>
      <c r="AL24" s="46">
        <f>IF(AN24=21,H24,0)</f>
        <v>0</v>
      </c>
      <c r="AN24" s="46">
        <v>21</v>
      </c>
      <c r="AO24" s="46">
        <f>G24*0.554522761</f>
        <v>0</v>
      </c>
      <c r="AP24" s="46">
        <f>G24*(1-0.554522761)</f>
        <v>0</v>
      </c>
      <c r="AQ24" s="47" t="s">
        <v>115</v>
      </c>
      <c r="AV24" s="46">
        <f>AW24+AX24</f>
        <v>0</v>
      </c>
      <c r="AW24" s="46">
        <f>F24*AO24</f>
        <v>0</v>
      </c>
      <c r="AX24" s="46">
        <f>F24*AP24</f>
        <v>0</v>
      </c>
      <c r="AY24" s="47" t="s">
        <v>146</v>
      </c>
      <c r="AZ24" s="47" t="s">
        <v>139</v>
      </c>
      <c r="BA24" s="35" t="s">
        <v>109</v>
      </c>
      <c r="BC24" s="46">
        <f>AW24+AX24</f>
        <v>0</v>
      </c>
      <c r="BD24" s="46">
        <f>G24/(100-BE24)*100</f>
        <v>0</v>
      </c>
      <c r="BE24" s="46">
        <v>0</v>
      </c>
      <c r="BF24" s="46">
        <f>24</f>
        <v>24</v>
      </c>
      <c r="BH24" s="46">
        <f>F24*AO24</f>
        <v>0</v>
      </c>
      <c r="BI24" s="46">
        <f>F24*AP24</f>
        <v>0</v>
      </c>
      <c r="BJ24" s="46">
        <f>F24*G24</f>
        <v>0</v>
      </c>
      <c r="BK24" s="46"/>
      <c r="BL24" s="46">
        <v>764</v>
      </c>
      <c r="BW24" s="46">
        <v>21</v>
      </c>
      <c r="BX24" s="3" t="s">
        <v>144</v>
      </c>
    </row>
    <row r="25" spans="1:76" x14ac:dyDescent="0.25">
      <c r="A25" s="48" t="s">
        <v>4</v>
      </c>
      <c r="B25" s="49" t="s">
        <v>147</v>
      </c>
      <c r="C25" s="114" t="s">
        <v>148</v>
      </c>
      <c r="D25" s="115"/>
      <c r="E25" s="50" t="s">
        <v>72</v>
      </c>
      <c r="F25" s="50" t="s">
        <v>72</v>
      </c>
      <c r="G25" s="50" t="s">
        <v>72</v>
      </c>
      <c r="H25" s="28">
        <f>SUM(H26:H28)</f>
        <v>0</v>
      </c>
      <c r="J25" s="41"/>
      <c r="AI25" s="35" t="s">
        <v>4</v>
      </c>
      <c r="AS25" s="28">
        <f>SUM(AJ26:AJ28)</f>
        <v>0</v>
      </c>
      <c r="AT25" s="28">
        <f>SUM(AK26:AK28)</f>
        <v>0</v>
      </c>
      <c r="AU25" s="28">
        <f>SUM(AL26:AL28)</f>
        <v>0</v>
      </c>
    </row>
    <row r="26" spans="1:76" x14ac:dyDescent="0.25">
      <c r="A26" s="1" t="s">
        <v>149</v>
      </c>
      <c r="B26" s="2" t="s">
        <v>150</v>
      </c>
      <c r="C26" s="61" t="s">
        <v>151</v>
      </c>
      <c r="D26" s="62"/>
      <c r="E26" s="2" t="s">
        <v>106</v>
      </c>
      <c r="F26" s="46">
        <v>158.988</v>
      </c>
      <c r="G26" s="56">
        <v>0</v>
      </c>
      <c r="H26" s="46">
        <f>F26*G26</f>
        <v>0</v>
      </c>
      <c r="J26" s="41"/>
      <c r="Z26" s="46">
        <f>IF(AQ26="5",BJ26,0)</f>
        <v>0</v>
      </c>
      <c r="AB26" s="46">
        <f>IF(AQ26="1",BH26,0)</f>
        <v>0</v>
      </c>
      <c r="AC26" s="46">
        <f>IF(AQ26="1",BI26,0)</f>
        <v>0</v>
      </c>
      <c r="AD26" s="46">
        <f>IF(AQ26="7",BH26,0)</f>
        <v>0</v>
      </c>
      <c r="AE26" s="46">
        <f>IF(AQ26="7",BI26,0)</f>
        <v>0</v>
      </c>
      <c r="AF26" s="46">
        <f>IF(AQ26="2",BH26,0)</f>
        <v>0</v>
      </c>
      <c r="AG26" s="46">
        <f>IF(AQ26="2",BI26,0)</f>
        <v>0</v>
      </c>
      <c r="AH26" s="46">
        <f>IF(AQ26="0",BJ26,0)</f>
        <v>0</v>
      </c>
      <c r="AI26" s="35" t="s">
        <v>4</v>
      </c>
      <c r="AJ26" s="46">
        <f>IF(AN26=0,H26,0)</f>
        <v>0</v>
      </c>
      <c r="AK26" s="46">
        <f>IF(AN26=12,H26,0)</f>
        <v>0</v>
      </c>
      <c r="AL26" s="46">
        <f>IF(AN26=21,H26,0)</f>
        <v>0</v>
      </c>
      <c r="AN26" s="46">
        <v>21</v>
      </c>
      <c r="AO26" s="46">
        <f>G26*0.402083544</f>
        <v>0</v>
      </c>
      <c r="AP26" s="46">
        <f>G26*(1-0.402083544)</f>
        <v>0</v>
      </c>
      <c r="AQ26" s="47" t="s">
        <v>115</v>
      </c>
      <c r="AV26" s="46">
        <f>AW26+AX26</f>
        <v>0</v>
      </c>
      <c r="AW26" s="46">
        <f>F26*AO26</f>
        <v>0</v>
      </c>
      <c r="AX26" s="46">
        <f>F26*AP26</f>
        <v>0</v>
      </c>
      <c r="AY26" s="47" t="s">
        <v>152</v>
      </c>
      <c r="AZ26" s="47" t="s">
        <v>153</v>
      </c>
      <c r="BA26" s="35" t="s">
        <v>109</v>
      </c>
      <c r="BC26" s="46">
        <f>AW26+AX26</f>
        <v>0</v>
      </c>
      <c r="BD26" s="46">
        <f>G26/(100-BE26)*100</f>
        <v>0</v>
      </c>
      <c r="BE26" s="46">
        <v>0</v>
      </c>
      <c r="BF26" s="46">
        <f>26</f>
        <v>26</v>
      </c>
      <c r="BH26" s="46">
        <f>F26*AO26</f>
        <v>0</v>
      </c>
      <c r="BI26" s="46">
        <f>F26*AP26</f>
        <v>0</v>
      </c>
      <c r="BJ26" s="46">
        <f>F26*G26</f>
        <v>0</v>
      </c>
      <c r="BK26" s="46"/>
      <c r="BL26" s="46">
        <v>781</v>
      </c>
      <c r="BW26" s="46">
        <v>21</v>
      </c>
      <c r="BX26" s="3" t="s">
        <v>151</v>
      </c>
    </row>
    <row r="27" spans="1:76" x14ac:dyDescent="0.25">
      <c r="A27" s="1" t="s">
        <v>154</v>
      </c>
      <c r="B27" s="2" t="s">
        <v>155</v>
      </c>
      <c r="C27" s="61" t="s">
        <v>156</v>
      </c>
      <c r="D27" s="62"/>
      <c r="E27" s="2" t="s">
        <v>106</v>
      </c>
      <c r="F27" s="46">
        <v>158.988</v>
      </c>
      <c r="G27" s="56">
        <v>0</v>
      </c>
      <c r="H27" s="46">
        <f>F27*G27</f>
        <v>0</v>
      </c>
      <c r="J27" s="41"/>
      <c r="Z27" s="46">
        <f>IF(AQ27="5",BJ27,0)</f>
        <v>0</v>
      </c>
      <c r="AB27" s="46">
        <f>IF(AQ27="1",BH27,0)</f>
        <v>0</v>
      </c>
      <c r="AC27" s="46">
        <f>IF(AQ27="1",BI27,0)</f>
        <v>0</v>
      </c>
      <c r="AD27" s="46">
        <f>IF(AQ27="7",BH27,0)</f>
        <v>0</v>
      </c>
      <c r="AE27" s="46">
        <f>IF(AQ27="7",BI27,0)</f>
        <v>0</v>
      </c>
      <c r="AF27" s="46">
        <f>IF(AQ27="2",BH27,0)</f>
        <v>0</v>
      </c>
      <c r="AG27" s="46">
        <f>IF(AQ27="2",BI27,0)</f>
        <v>0</v>
      </c>
      <c r="AH27" s="46">
        <f>IF(AQ27="0",BJ27,0)</f>
        <v>0</v>
      </c>
      <c r="AI27" s="35" t="s">
        <v>4</v>
      </c>
      <c r="AJ27" s="46">
        <f>IF(AN27=0,H27,0)</f>
        <v>0</v>
      </c>
      <c r="AK27" s="46">
        <f>IF(AN27=12,H27,0)</f>
        <v>0</v>
      </c>
      <c r="AL27" s="46">
        <f>IF(AN27=21,H27,0)</f>
        <v>0</v>
      </c>
      <c r="AN27" s="46">
        <v>21</v>
      </c>
      <c r="AO27" s="46">
        <f>G27*0.190148387</f>
        <v>0</v>
      </c>
      <c r="AP27" s="46">
        <f>G27*(1-0.190148387)</f>
        <v>0</v>
      </c>
      <c r="AQ27" s="47" t="s">
        <v>115</v>
      </c>
      <c r="AV27" s="46">
        <f>AW27+AX27</f>
        <v>0</v>
      </c>
      <c r="AW27" s="46">
        <f>F27*AO27</f>
        <v>0</v>
      </c>
      <c r="AX27" s="46">
        <f>F27*AP27</f>
        <v>0</v>
      </c>
      <c r="AY27" s="47" t="s">
        <v>152</v>
      </c>
      <c r="AZ27" s="47" t="s">
        <v>153</v>
      </c>
      <c r="BA27" s="35" t="s">
        <v>109</v>
      </c>
      <c r="BC27" s="46">
        <f>AW27+AX27</f>
        <v>0</v>
      </c>
      <c r="BD27" s="46">
        <f>G27/(100-BE27)*100</f>
        <v>0</v>
      </c>
      <c r="BE27" s="46">
        <v>0</v>
      </c>
      <c r="BF27" s="46">
        <f>27</f>
        <v>27</v>
      </c>
      <c r="BH27" s="46">
        <f>F27*AO27</f>
        <v>0</v>
      </c>
      <c r="BI27" s="46">
        <f>F27*AP27</f>
        <v>0</v>
      </c>
      <c r="BJ27" s="46">
        <f>F27*G27</f>
        <v>0</v>
      </c>
      <c r="BK27" s="46"/>
      <c r="BL27" s="46">
        <v>781</v>
      </c>
      <c r="BW27" s="46">
        <v>21</v>
      </c>
      <c r="BX27" s="3" t="s">
        <v>156</v>
      </c>
    </row>
    <row r="28" spans="1:76" x14ac:dyDescent="0.25">
      <c r="A28" s="1" t="s">
        <v>157</v>
      </c>
      <c r="B28" s="2" t="s">
        <v>158</v>
      </c>
      <c r="C28" s="61" t="s">
        <v>159</v>
      </c>
      <c r="D28" s="62"/>
      <c r="E28" s="2" t="s">
        <v>106</v>
      </c>
      <c r="F28" s="46">
        <v>158.988</v>
      </c>
      <c r="G28" s="56">
        <v>0</v>
      </c>
      <c r="H28" s="46">
        <f>F28*G28</f>
        <v>0</v>
      </c>
      <c r="J28" s="41"/>
      <c r="Z28" s="46">
        <f>IF(AQ28="5",BJ28,0)</f>
        <v>0</v>
      </c>
      <c r="AB28" s="46">
        <f>IF(AQ28="1",BH28,0)</f>
        <v>0</v>
      </c>
      <c r="AC28" s="46">
        <f>IF(AQ28="1",BI28,0)</f>
        <v>0</v>
      </c>
      <c r="AD28" s="46">
        <f>IF(AQ28="7",BH28,0)</f>
        <v>0</v>
      </c>
      <c r="AE28" s="46">
        <f>IF(AQ28="7",BI28,0)</f>
        <v>0</v>
      </c>
      <c r="AF28" s="46">
        <f>IF(AQ28="2",BH28,0)</f>
        <v>0</v>
      </c>
      <c r="AG28" s="46">
        <f>IF(AQ28="2",BI28,0)</f>
        <v>0</v>
      </c>
      <c r="AH28" s="46">
        <f>IF(AQ28="0",BJ28,0)</f>
        <v>0</v>
      </c>
      <c r="AI28" s="35" t="s">
        <v>4</v>
      </c>
      <c r="AJ28" s="46">
        <f>IF(AN28=0,H28,0)</f>
        <v>0</v>
      </c>
      <c r="AK28" s="46">
        <f>IF(AN28=12,H28,0)</f>
        <v>0</v>
      </c>
      <c r="AL28" s="46">
        <f>IF(AN28=21,H28,0)</f>
        <v>0</v>
      </c>
      <c r="AN28" s="46">
        <v>21</v>
      </c>
      <c r="AO28" s="46">
        <f>G28*0.190088033</f>
        <v>0</v>
      </c>
      <c r="AP28" s="46">
        <f>G28*(1-0.190088033)</f>
        <v>0</v>
      </c>
      <c r="AQ28" s="47" t="s">
        <v>115</v>
      </c>
      <c r="AV28" s="46">
        <f>AW28+AX28</f>
        <v>0</v>
      </c>
      <c r="AW28" s="46">
        <f>F28*AO28</f>
        <v>0</v>
      </c>
      <c r="AX28" s="46">
        <f>F28*AP28</f>
        <v>0</v>
      </c>
      <c r="AY28" s="47" t="s">
        <v>152</v>
      </c>
      <c r="AZ28" s="47" t="s">
        <v>153</v>
      </c>
      <c r="BA28" s="35" t="s">
        <v>109</v>
      </c>
      <c r="BC28" s="46">
        <f>AW28+AX28</f>
        <v>0</v>
      </c>
      <c r="BD28" s="46">
        <f>G28/(100-BE28)*100</f>
        <v>0</v>
      </c>
      <c r="BE28" s="46">
        <v>0</v>
      </c>
      <c r="BF28" s="46">
        <f>28</f>
        <v>28</v>
      </c>
      <c r="BH28" s="46">
        <f>F28*AO28</f>
        <v>0</v>
      </c>
      <c r="BI28" s="46">
        <f>F28*AP28</f>
        <v>0</v>
      </c>
      <c r="BJ28" s="46">
        <f>F28*G28</f>
        <v>0</v>
      </c>
      <c r="BK28" s="46"/>
      <c r="BL28" s="46">
        <v>781</v>
      </c>
      <c r="BW28" s="46">
        <v>21</v>
      </c>
      <c r="BX28" s="3" t="s">
        <v>159</v>
      </c>
    </row>
    <row r="29" spans="1:76" x14ac:dyDescent="0.25">
      <c r="A29" s="48" t="s">
        <v>4</v>
      </c>
      <c r="B29" s="49" t="s">
        <v>160</v>
      </c>
      <c r="C29" s="114" t="s">
        <v>161</v>
      </c>
      <c r="D29" s="115"/>
      <c r="E29" s="50" t="s">
        <v>72</v>
      </c>
      <c r="F29" s="50" t="s">
        <v>72</v>
      </c>
      <c r="G29" s="50" t="s">
        <v>72</v>
      </c>
      <c r="H29" s="28">
        <f>SUM(H30:H30)</f>
        <v>0</v>
      </c>
      <c r="J29" s="41"/>
      <c r="AI29" s="35" t="s">
        <v>4</v>
      </c>
      <c r="AS29" s="28">
        <f>SUM(AJ30:AJ30)</f>
        <v>0</v>
      </c>
      <c r="AT29" s="28">
        <f>SUM(AK30:AK30)</f>
        <v>0</v>
      </c>
      <c r="AU29" s="28">
        <f>SUM(AL30:AL30)</f>
        <v>0</v>
      </c>
    </row>
    <row r="30" spans="1:76" x14ac:dyDescent="0.25">
      <c r="A30" s="1" t="s">
        <v>162</v>
      </c>
      <c r="B30" s="2" t="s">
        <v>163</v>
      </c>
      <c r="C30" s="61" t="s">
        <v>164</v>
      </c>
      <c r="D30" s="62"/>
      <c r="E30" s="2" t="s">
        <v>137</v>
      </c>
      <c r="F30" s="46">
        <v>1</v>
      </c>
      <c r="G30" s="56">
        <v>0</v>
      </c>
      <c r="H30" s="46">
        <f>F30*G30</f>
        <v>0</v>
      </c>
      <c r="J30" s="41"/>
      <c r="Z30" s="46">
        <f>IF(AQ30="5",BJ30,0)</f>
        <v>0</v>
      </c>
      <c r="AB30" s="46">
        <f>IF(AQ30="1",BH30,0)</f>
        <v>0</v>
      </c>
      <c r="AC30" s="46">
        <f>IF(AQ30="1",BI30,0)</f>
        <v>0</v>
      </c>
      <c r="AD30" s="46">
        <f>IF(AQ30="7",BH30,0)</f>
        <v>0</v>
      </c>
      <c r="AE30" s="46">
        <f>IF(AQ30="7",BI30,0)</f>
        <v>0</v>
      </c>
      <c r="AF30" s="46">
        <f>IF(AQ30="2",BH30,0)</f>
        <v>0</v>
      </c>
      <c r="AG30" s="46">
        <f>IF(AQ30="2",BI30,0)</f>
        <v>0</v>
      </c>
      <c r="AH30" s="46">
        <f>IF(AQ30="0",BJ30,0)</f>
        <v>0</v>
      </c>
      <c r="AI30" s="35" t="s">
        <v>4</v>
      </c>
      <c r="AJ30" s="46">
        <f>IF(AN30=0,H30,0)</f>
        <v>0</v>
      </c>
      <c r="AK30" s="46">
        <f>IF(AN30=12,H30,0)</f>
        <v>0</v>
      </c>
      <c r="AL30" s="46">
        <f>IF(AN30=21,H30,0)</f>
        <v>0</v>
      </c>
      <c r="AN30" s="46">
        <v>21</v>
      </c>
      <c r="AO30" s="46">
        <f>G30*0.194270798</f>
        <v>0</v>
      </c>
      <c r="AP30" s="46">
        <f>G30*(1-0.194270798)</f>
        <v>0</v>
      </c>
      <c r="AQ30" s="47" t="s">
        <v>115</v>
      </c>
      <c r="AV30" s="46">
        <f>AW30+AX30</f>
        <v>0</v>
      </c>
      <c r="AW30" s="46">
        <f>F30*AO30</f>
        <v>0</v>
      </c>
      <c r="AX30" s="46">
        <f>F30*AP30</f>
        <v>0</v>
      </c>
      <c r="AY30" s="47" t="s">
        <v>165</v>
      </c>
      <c r="AZ30" s="47" t="s">
        <v>153</v>
      </c>
      <c r="BA30" s="35" t="s">
        <v>109</v>
      </c>
      <c r="BC30" s="46">
        <f>AW30+AX30</f>
        <v>0</v>
      </c>
      <c r="BD30" s="46">
        <f>G30/(100-BE30)*100</f>
        <v>0</v>
      </c>
      <c r="BE30" s="46">
        <v>0</v>
      </c>
      <c r="BF30" s="46">
        <f>30</f>
        <v>30</v>
      </c>
      <c r="BH30" s="46">
        <f>F30*AO30</f>
        <v>0</v>
      </c>
      <c r="BI30" s="46">
        <f>F30*AP30</f>
        <v>0</v>
      </c>
      <c r="BJ30" s="46">
        <f>F30*G30</f>
        <v>0</v>
      </c>
      <c r="BK30" s="46"/>
      <c r="BL30" s="46">
        <v>783</v>
      </c>
      <c r="BW30" s="46">
        <v>21</v>
      </c>
      <c r="BX30" s="3" t="s">
        <v>164</v>
      </c>
    </row>
    <row r="31" spans="1:76" x14ac:dyDescent="0.25">
      <c r="A31" s="48" t="s">
        <v>4</v>
      </c>
      <c r="B31" s="49" t="s">
        <v>166</v>
      </c>
      <c r="C31" s="114" t="s">
        <v>167</v>
      </c>
      <c r="D31" s="115"/>
      <c r="E31" s="50" t="s">
        <v>72</v>
      </c>
      <c r="F31" s="50" t="s">
        <v>72</v>
      </c>
      <c r="G31" s="50" t="s">
        <v>72</v>
      </c>
      <c r="H31" s="28">
        <f>SUM(H32:H32)</f>
        <v>0</v>
      </c>
      <c r="J31" s="41"/>
      <c r="AI31" s="35" t="s">
        <v>4</v>
      </c>
      <c r="AS31" s="28">
        <f>SUM(AJ32:AJ32)</f>
        <v>0</v>
      </c>
      <c r="AT31" s="28">
        <f>SUM(AK32:AK32)</f>
        <v>0</v>
      </c>
      <c r="AU31" s="28">
        <f>SUM(AL32:AL32)</f>
        <v>0</v>
      </c>
    </row>
    <row r="32" spans="1:76" x14ac:dyDescent="0.25">
      <c r="A32" s="1" t="s">
        <v>168</v>
      </c>
      <c r="B32" s="2" t="s">
        <v>169</v>
      </c>
      <c r="C32" s="61" t="s">
        <v>170</v>
      </c>
      <c r="D32" s="62"/>
      <c r="E32" s="2" t="s">
        <v>106</v>
      </c>
      <c r="F32" s="46">
        <v>43.2</v>
      </c>
      <c r="G32" s="56">
        <v>0</v>
      </c>
      <c r="H32" s="46">
        <f>F32*G32</f>
        <v>0</v>
      </c>
      <c r="J32" s="41"/>
      <c r="Z32" s="46">
        <f>IF(AQ32="5",BJ32,0)</f>
        <v>0</v>
      </c>
      <c r="AB32" s="46">
        <f>IF(AQ32="1",BH32,0)</f>
        <v>0</v>
      </c>
      <c r="AC32" s="46">
        <f>IF(AQ32="1",BI32,0)</f>
        <v>0</v>
      </c>
      <c r="AD32" s="46">
        <f>IF(AQ32="7",BH32,0)</f>
        <v>0</v>
      </c>
      <c r="AE32" s="46">
        <f>IF(AQ32="7",BI32,0)</f>
        <v>0</v>
      </c>
      <c r="AF32" s="46">
        <f>IF(AQ32="2",BH32,0)</f>
        <v>0</v>
      </c>
      <c r="AG32" s="46">
        <f>IF(AQ32="2",BI32,0)</f>
        <v>0</v>
      </c>
      <c r="AH32" s="46">
        <f>IF(AQ32="0",BJ32,0)</f>
        <v>0</v>
      </c>
      <c r="AI32" s="35" t="s">
        <v>4</v>
      </c>
      <c r="AJ32" s="46">
        <f>IF(AN32=0,H32,0)</f>
        <v>0</v>
      </c>
      <c r="AK32" s="46">
        <f>IF(AN32=12,H32,0)</f>
        <v>0</v>
      </c>
      <c r="AL32" s="46">
        <f>IF(AN32=21,H32,0)</f>
        <v>0</v>
      </c>
      <c r="AN32" s="46">
        <v>21</v>
      </c>
      <c r="AO32" s="46">
        <f>G32*0.36869258</f>
        <v>0</v>
      </c>
      <c r="AP32" s="46">
        <f>G32*(1-0.36869258)</f>
        <v>0</v>
      </c>
      <c r="AQ32" s="47" t="s">
        <v>103</v>
      </c>
      <c r="AV32" s="46">
        <f>AW32+AX32</f>
        <v>0</v>
      </c>
      <c r="AW32" s="46">
        <f>F32*AO32</f>
        <v>0</v>
      </c>
      <c r="AX32" s="46">
        <f>F32*AP32</f>
        <v>0</v>
      </c>
      <c r="AY32" s="47" t="s">
        <v>171</v>
      </c>
      <c r="AZ32" s="47" t="s">
        <v>172</v>
      </c>
      <c r="BA32" s="35" t="s">
        <v>109</v>
      </c>
      <c r="BC32" s="46">
        <f>AW32+AX32</f>
        <v>0</v>
      </c>
      <c r="BD32" s="46">
        <f>G32/(100-BE32)*100</f>
        <v>0</v>
      </c>
      <c r="BE32" s="46">
        <v>0</v>
      </c>
      <c r="BF32" s="46">
        <f>32</f>
        <v>32</v>
      </c>
      <c r="BH32" s="46">
        <f>F32*AO32</f>
        <v>0</v>
      </c>
      <c r="BI32" s="46">
        <f>F32*AP32</f>
        <v>0</v>
      </c>
      <c r="BJ32" s="46">
        <f>F32*G32</f>
        <v>0</v>
      </c>
      <c r="BK32" s="46"/>
      <c r="BL32" s="46">
        <v>94</v>
      </c>
      <c r="BW32" s="46">
        <v>21</v>
      </c>
      <c r="BX32" s="3" t="s">
        <v>170</v>
      </c>
    </row>
    <row r="33" spans="1:76" x14ac:dyDescent="0.25">
      <c r="A33" s="48" t="s">
        <v>4</v>
      </c>
      <c r="B33" s="49" t="s">
        <v>173</v>
      </c>
      <c r="C33" s="114" t="s">
        <v>174</v>
      </c>
      <c r="D33" s="115"/>
      <c r="E33" s="50" t="s">
        <v>72</v>
      </c>
      <c r="F33" s="50" t="s">
        <v>72</v>
      </c>
      <c r="G33" s="50" t="s">
        <v>72</v>
      </c>
      <c r="H33" s="28">
        <f>SUM(H34:H34)</f>
        <v>0</v>
      </c>
      <c r="J33" s="41"/>
      <c r="AI33" s="35" t="s">
        <v>4</v>
      </c>
      <c r="AS33" s="28">
        <f>SUM(AJ34:AJ34)</f>
        <v>0</v>
      </c>
      <c r="AT33" s="28">
        <f>SUM(AK34:AK34)</f>
        <v>0</v>
      </c>
      <c r="AU33" s="28">
        <f>SUM(AL34:AL34)</f>
        <v>0</v>
      </c>
    </row>
    <row r="34" spans="1:76" x14ac:dyDescent="0.25">
      <c r="A34" s="1" t="s">
        <v>175</v>
      </c>
      <c r="B34" s="2" t="s">
        <v>176</v>
      </c>
      <c r="C34" s="61" t="s">
        <v>177</v>
      </c>
      <c r="D34" s="62"/>
      <c r="E34" s="2" t="s">
        <v>178</v>
      </c>
      <c r="F34" s="46">
        <v>16.2</v>
      </c>
      <c r="G34" s="56">
        <v>0</v>
      </c>
      <c r="H34" s="46">
        <f>F34*G34</f>
        <v>0</v>
      </c>
      <c r="J34" s="41"/>
      <c r="Z34" s="46">
        <f>IF(AQ34="5",BJ34,0)</f>
        <v>0</v>
      </c>
      <c r="AB34" s="46">
        <f>IF(AQ34="1",BH34,0)</f>
        <v>0</v>
      </c>
      <c r="AC34" s="46">
        <f>IF(AQ34="1",BI34,0)</f>
        <v>0</v>
      </c>
      <c r="AD34" s="46">
        <f>IF(AQ34="7",BH34,0)</f>
        <v>0</v>
      </c>
      <c r="AE34" s="46">
        <f>IF(AQ34="7",BI34,0)</f>
        <v>0</v>
      </c>
      <c r="AF34" s="46">
        <f>IF(AQ34="2",BH34,0)</f>
        <v>0</v>
      </c>
      <c r="AG34" s="46">
        <f>IF(AQ34="2",BI34,0)</f>
        <v>0</v>
      </c>
      <c r="AH34" s="46">
        <f>IF(AQ34="0",BJ34,0)</f>
        <v>0</v>
      </c>
      <c r="AI34" s="35" t="s">
        <v>4</v>
      </c>
      <c r="AJ34" s="46">
        <f>IF(AN34=0,H34,0)</f>
        <v>0</v>
      </c>
      <c r="AK34" s="46">
        <f>IF(AN34=12,H34,0)</f>
        <v>0</v>
      </c>
      <c r="AL34" s="46">
        <f>IF(AN34=21,H34,0)</f>
        <v>0</v>
      </c>
      <c r="AN34" s="46">
        <v>21</v>
      </c>
      <c r="AO34" s="46">
        <f>G34*0.038602484</f>
        <v>0</v>
      </c>
      <c r="AP34" s="46">
        <f>G34*(1-0.038602484)</f>
        <v>0</v>
      </c>
      <c r="AQ34" s="47" t="s">
        <v>103</v>
      </c>
      <c r="AV34" s="46">
        <f>AW34+AX34</f>
        <v>0</v>
      </c>
      <c r="AW34" s="46">
        <f>F34*AO34</f>
        <v>0</v>
      </c>
      <c r="AX34" s="46">
        <f>F34*AP34</f>
        <v>0</v>
      </c>
      <c r="AY34" s="47" t="s">
        <v>179</v>
      </c>
      <c r="AZ34" s="47" t="s">
        <v>172</v>
      </c>
      <c r="BA34" s="35" t="s">
        <v>109</v>
      </c>
      <c r="BC34" s="46">
        <f>AW34+AX34</f>
        <v>0</v>
      </c>
      <c r="BD34" s="46">
        <f>G34/(100-BE34)*100</f>
        <v>0</v>
      </c>
      <c r="BE34" s="46">
        <v>0</v>
      </c>
      <c r="BF34" s="46">
        <f>34</f>
        <v>34</v>
      </c>
      <c r="BH34" s="46">
        <f>F34*AO34</f>
        <v>0</v>
      </c>
      <c r="BI34" s="46">
        <f>F34*AP34</f>
        <v>0</v>
      </c>
      <c r="BJ34" s="46">
        <f>F34*G34</f>
        <v>0</v>
      </c>
      <c r="BK34" s="46"/>
      <c r="BL34" s="46">
        <v>96</v>
      </c>
      <c r="BW34" s="46">
        <v>21</v>
      </c>
      <c r="BX34" s="3" t="s">
        <v>177</v>
      </c>
    </row>
    <row r="35" spans="1:76" x14ac:dyDescent="0.25">
      <c r="A35" s="48" t="s">
        <v>4</v>
      </c>
      <c r="B35" s="49" t="s">
        <v>180</v>
      </c>
      <c r="C35" s="114" t="s">
        <v>181</v>
      </c>
      <c r="D35" s="115"/>
      <c r="E35" s="50" t="s">
        <v>72</v>
      </c>
      <c r="F35" s="50" t="s">
        <v>72</v>
      </c>
      <c r="G35" s="50" t="s">
        <v>72</v>
      </c>
      <c r="H35" s="28">
        <f>SUM(H36:H37)</f>
        <v>0</v>
      </c>
      <c r="J35" s="41"/>
      <c r="AI35" s="35" t="s">
        <v>4</v>
      </c>
      <c r="AS35" s="28">
        <f>SUM(AJ36:AJ37)</f>
        <v>0</v>
      </c>
      <c r="AT35" s="28">
        <f>SUM(AK36:AK37)</f>
        <v>0</v>
      </c>
      <c r="AU35" s="28">
        <f>SUM(AL36:AL37)</f>
        <v>0</v>
      </c>
    </row>
    <row r="36" spans="1:76" x14ac:dyDescent="0.25">
      <c r="A36" s="1" t="s">
        <v>182</v>
      </c>
      <c r="B36" s="2" t="s">
        <v>183</v>
      </c>
      <c r="C36" s="61" t="s">
        <v>184</v>
      </c>
      <c r="D36" s="62"/>
      <c r="E36" s="2" t="s">
        <v>106</v>
      </c>
      <c r="F36" s="46">
        <v>104.988</v>
      </c>
      <c r="G36" s="56">
        <v>0</v>
      </c>
      <c r="H36" s="46">
        <f>F36*G36</f>
        <v>0</v>
      </c>
      <c r="J36" s="41"/>
      <c r="Z36" s="46">
        <f>IF(AQ36="5",BJ36,0)</f>
        <v>0</v>
      </c>
      <c r="AB36" s="46">
        <f>IF(AQ36="1",BH36,0)</f>
        <v>0</v>
      </c>
      <c r="AC36" s="46">
        <f>IF(AQ36="1",BI36,0)</f>
        <v>0</v>
      </c>
      <c r="AD36" s="46">
        <f>IF(AQ36="7",BH36,0)</f>
        <v>0</v>
      </c>
      <c r="AE36" s="46">
        <f>IF(AQ36="7",BI36,0)</f>
        <v>0</v>
      </c>
      <c r="AF36" s="46">
        <f>IF(AQ36="2",BH36,0)</f>
        <v>0</v>
      </c>
      <c r="AG36" s="46">
        <f>IF(AQ36="2",BI36,0)</f>
        <v>0</v>
      </c>
      <c r="AH36" s="46">
        <f>IF(AQ36="0",BJ36,0)</f>
        <v>0</v>
      </c>
      <c r="AI36" s="35" t="s">
        <v>4</v>
      </c>
      <c r="AJ36" s="46">
        <f>IF(AN36=0,H36,0)</f>
        <v>0</v>
      </c>
      <c r="AK36" s="46">
        <f>IF(AN36=12,H36,0)</f>
        <v>0</v>
      </c>
      <c r="AL36" s="46">
        <f>IF(AN36=21,H36,0)</f>
        <v>0</v>
      </c>
      <c r="AN36" s="46">
        <v>21</v>
      </c>
      <c r="AO36" s="46">
        <f>G36*0</f>
        <v>0</v>
      </c>
      <c r="AP36" s="46">
        <f>G36*(1-0)</f>
        <v>0</v>
      </c>
      <c r="AQ36" s="47" t="s">
        <v>103</v>
      </c>
      <c r="AV36" s="46">
        <f>AW36+AX36</f>
        <v>0</v>
      </c>
      <c r="AW36" s="46">
        <f>F36*AO36</f>
        <v>0</v>
      </c>
      <c r="AX36" s="46">
        <f>F36*AP36</f>
        <v>0</v>
      </c>
      <c r="AY36" s="47" t="s">
        <v>185</v>
      </c>
      <c r="AZ36" s="47" t="s">
        <v>172</v>
      </c>
      <c r="BA36" s="35" t="s">
        <v>109</v>
      </c>
      <c r="BC36" s="46">
        <f>AW36+AX36</f>
        <v>0</v>
      </c>
      <c r="BD36" s="46">
        <f>G36/(100-BE36)*100</f>
        <v>0</v>
      </c>
      <c r="BE36" s="46">
        <v>0</v>
      </c>
      <c r="BF36" s="46">
        <f>36</f>
        <v>36</v>
      </c>
      <c r="BH36" s="46">
        <f>F36*AO36</f>
        <v>0</v>
      </c>
      <c r="BI36" s="46">
        <f>F36*AP36</f>
        <v>0</v>
      </c>
      <c r="BJ36" s="46">
        <f>F36*G36</f>
        <v>0</v>
      </c>
      <c r="BK36" s="46"/>
      <c r="BL36" s="46">
        <v>97</v>
      </c>
      <c r="BW36" s="46">
        <v>21</v>
      </c>
      <c r="BX36" s="3" t="s">
        <v>184</v>
      </c>
    </row>
    <row r="37" spans="1:76" x14ac:dyDescent="0.25">
      <c r="A37" s="1" t="s">
        <v>186</v>
      </c>
      <c r="B37" s="2" t="s">
        <v>187</v>
      </c>
      <c r="C37" s="61" t="s">
        <v>188</v>
      </c>
      <c r="D37" s="62"/>
      <c r="E37" s="2" t="s">
        <v>145</v>
      </c>
      <c r="F37" s="46">
        <v>36</v>
      </c>
      <c r="G37" s="56">
        <v>0</v>
      </c>
      <c r="H37" s="46">
        <f>F37*G37</f>
        <v>0</v>
      </c>
      <c r="J37" s="41"/>
      <c r="Z37" s="46">
        <f>IF(AQ37="5",BJ37,0)</f>
        <v>0</v>
      </c>
      <c r="AB37" s="46">
        <f>IF(AQ37="1",BH37,0)</f>
        <v>0</v>
      </c>
      <c r="AC37" s="46">
        <f>IF(AQ37="1",BI37,0)</f>
        <v>0</v>
      </c>
      <c r="AD37" s="46">
        <f>IF(AQ37="7",BH37,0)</f>
        <v>0</v>
      </c>
      <c r="AE37" s="46">
        <f>IF(AQ37="7",BI37,0)</f>
        <v>0</v>
      </c>
      <c r="AF37" s="46">
        <f>IF(AQ37="2",BH37,0)</f>
        <v>0</v>
      </c>
      <c r="AG37" s="46">
        <f>IF(AQ37="2",BI37,0)</f>
        <v>0</v>
      </c>
      <c r="AH37" s="46">
        <f>IF(AQ37="0",BJ37,0)</f>
        <v>0</v>
      </c>
      <c r="AI37" s="35" t="s">
        <v>4</v>
      </c>
      <c r="AJ37" s="46">
        <f>IF(AN37=0,H37,0)</f>
        <v>0</v>
      </c>
      <c r="AK37" s="46">
        <f>IF(AN37=12,H37,0)</f>
        <v>0</v>
      </c>
      <c r="AL37" s="46">
        <f>IF(AN37=21,H37,0)</f>
        <v>0</v>
      </c>
      <c r="AN37" s="46">
        <v>21</v>
      </c>
      <c r="AO37" s="46">
        <f>G37*0.249326729</f>
        <v>0</v>
      </c>
      <c r="AP37" s="46">
        <f>G37*(1-0.249326729)</f>
        <v>0</v>
      </c>
      <c r="AQ37" s="47" t="s">
        <v>103</v>
      </c>
      <c r="AV37" s="46">
        <f>AW37+AX37</f>
        <v>0</v>
      </c>
      <c r="AW37" s="46">
        <f>F37*AO37</f>
        <v>0</v>
      </c>
      <c r="AX37" s="46">
        <f>F37*AP37</f>
        <v>0</v>
      </c>
      <c r="AY37" s="47" t="s">
        <v>185</v>
      </c>
      <c r="AZ37" s="47" t="s">
        <v>172</v>
      </c>
      <c r="BA37" s="35" t="s">
        <v>109</v>
      </c>
      <c r="BC37" s="46">
        <f>AW37+AX37</f>
        <v>0</v>
      </c>
      <c r="BD37" s="46">
        <f>G37/(100-BE37)*100</f>
        <v>0</v>
      </c>
      <c r="BE37" s="46">
        <v>0</v>
      </c>
      <c r="BF37" s="46">
        <f>37</f>
        <v>37</v>
      </c>
      <c r="BH37" s="46">
        <f>F37*AO37</f>
        <v>0</v>
      </c>
      <c r="BI37" s="46">
        <f>F37*AP37</f>
        <v>0</v>
      </c>
      <c r="BJ37" s="46">
        <f>F37*G37</f>
        <v>0</v>
      </c>
      <c r="BK37" s="46"/>
      <c r="BL37" s="46">
        <v>97</v>
      </c>
      <c r="BW37" s="46">
        <v>21</v>
      </c>
      <c r="BX37" s="3" t="s">
        <v>188</v>
      </c>
    </row>
    <row r="38" spans="1:76" x14ac:dyDescent="0.25">
      <c r="A38" s="48" t="s">
        <v>4</v>
      </c>
      <c r="B38" s="49" t="s">
        <v>189</v>
      </c>
      <c r="C38" s="114" t="s">
        <v>190</v>
      </c>
      <c r="D38" s="115"/>
      <c r="E38" s="50" t="s">
        <v>72</v>
      </c>
      <c r="F38" s="50" t="s">
        <v>72</v>
      </c>
      <c r="G38" s="50" t="s">
        <v>72</v>
      </c>
      <c r="H38" s="28">
        <f>SUM(H39:H39)</f>
        <v>0</v>
      </c>
      <c r="J38" s="41"/>
      <c r="AI38" s="35" t="s">
        <v>4</v>
      </c>
      <c r="AS38" s="28">
        <f>SUM(AJ39:AJ39)</f>
        <v>0</v>
      </c>
      <c r="AT38" s="28">
        <f>SUM(AK39:AK39)</f>
        <v>0</v>
      </c>
      <c r="AU38" s="28">
        <f>SUM(AL39:AL39)</f>
        <v>0</v>
      </c>
    </row>
    <row r="39" spans="1:76" x14ac:dyDescent="0.25">
      <c r="A39" s="1" t="s">
        <v>191</v>
      </c>
      <c r="B39" s="2" t="s">
        <v>192</v>
      </c>
      <c r="C39" s="61" t="s">
        <v>193</v>
      </c>
      <c r="D39" s="62"/>
      <c r="E39" s="2" t="s">
        <v>194</v>
      </c>
      <c r="F39" s="46">
        <v>41.646419999999999</v>
      </c>
      <c r="G39" s="56">
        <v>0</v>
      </c>
      <c r="H39" s="46">
        <f>F39*G39</f>
        <v>0</v>
      </c>
      <c r="J39" s="41"/>
      <c r="Z39" s="46">
        <f>IF(AQ39="5",BJ39,0)</f>
        <v>0</v>
      </c>
      <c r="AB39" s="46">
        <f>IF(AQ39="1",BH39,0)</f>
        <v>0</v>
      </c>
      <c r="AC39" s="46">
        <f>IF(AQ39="1",BI39,0)</f>
        <v>0</v>
      </c>
      <c r="AD39" s="46">
        <f>IF(AQ39="7",BH39,0)</f>
        <v>0</v>
      </c>
      <c r="AE39" s="46">
        <f>IF(AQ39="7",BI39,0)</f>
        <v>0</v>
      </c>
      <c r="AF39" s="46">
        <f>IF(AQ39="2",BH39,0)</f>
        <v>0</v>
      </c>
      <c r="AG39" s="46">
        <f>IF(AQ39="2",BI39,0)</f>
        <v>0</v>
      </c>
      <c r="AH39" s="46">
        <f>IF(AQ39="0",BJ39,0)</f>
        <v>0</v>
      </c>
      <c r="AI39" s="35" t="s">
        <v>4</v>
      </c>
      <c r="AJ39" s="46">
        <f>IF(AN39=0,H39,0)</f>
        <v>0</v>
      </c>
      <c r="AK39" s="46">
        <f>IF(AN39=12,H39,0)</f>
        <v>0</v>
      </c>
      <c r="AL39" s="46">
        <f>IF(AN39=21,H39,0)</f>
        <v>0</v>
      </c>
      <c r="AN39" s="46">
        <v>21</v>
      </c>
      <c r="AO39" s="46">
        <f>G39*0</f>
        <v>0</v>
      </c>
      <c r="AP39" s="46">
        <f>G39*(1-0)</f>
        <v>0</v>
      </c>
      <c r="AQ39" s="47" t="s">
        <v>124</v>
      </c>
      <c r="AV39" s="46">
        <f>AW39+AX39</f>
        <v>0</v>
      </c>
      <c r="AW39" s="46">
        <f>F39*AO39</f>
        <v>0</v>
      </c>
      <c r="AX39" s="46">
        <f>F39*AP39</f>
        <v>0</v>
      </c>
      <c r="AY39" s="47" t="s">
        <v>195</v>
      </c>
      <c r="AZ39" s="47" t="s">
        <v>172</v>
      </c>
      <c r="BA39" s="35" t="s">
        <v>109</v>
      </c>
      <c r="BC39" s="46">
        <f>AW39+AX39</f>
        <v>0</v>
      </c>
      <c r="BD39" s="46">
        <f>G39/(100-BE39)*100</f>
        <v>0</v>
      </c>
      <c r="BE39" s="46">
        <v>0</v>
      </c>
      <c r="BF39" s="46">
        <f>39</f>
        <v>39</v>
      </c>
      <c r="BH39" s="46">
        <f>F39*AO39</f>
        <v>0</v>
      </c>
      <c r="BI39" s="46">
        <f>F39*AP39</f>
        <v>0</v>
      </c>
      <c r="BJ39" s="46">
        <f>F39*G39</f>
        <v>0</v>
      </c>
      <c r="BK39" s="46"/>
      <c r="BL39" s="46"/>
      <c r="BW39" s="46">
        <v>21</v>
      </c>
      <c r="BX39" s="3" t="s">
        <v>193</v>
      </c>
    </row>
    <row r="40" spans="1:76" x14ac:dyDescent="0.25">
      <c r="A40" s="48" t="s">
        <v>4</v>
      </c>
      <c r="B40" s="49" t="s">
        <v>196</v>
      </c>
      <c r="C40" s="114" t="s">
        <v>148</v>
      </c>
      <c r="D40" s="115"/>
      <c r="E40" s="50" t="s">
        <v>72</v>
      </c>
      <c r="F40" s="50" t="s">
        <v>72</v>
      </c>
      <c r="G40" s="50" t="s">
        <v>72</v>
      </c>
      <c r="H40" s="28">
        <f>SUM(H41:H41)</f>
        <v>0</v>
      </c>
      <c r="J40" s="41"/>
      <c r="AI40" s="35" t="s">
        <v>4</v>
      </c>
      <c r="AS40" s="28">
        <f>SUM(AJ41:AJ41)</f>
        <v>0</v>
      </c>
      <c r="AT40" s="28">
        <f>SUM(AK41:AK41)</f>
        <v>0</v>
      </c>
      <c r="AU40" s="28">
        <f>SUM(AL41:AL41)</f>
        <v>0</v>
      </c>
    </row>
    <row r="41" spans="1:76" x14ac:dyDescent="0.25">
      <c r="A41" s="1" t="s">
        <v>197</v>
      </c>
      <c r="B41" s="2" t="s">
        <v>198</v>
      </c>
      <c r="C41" s="61" t="s">
        <v>199</v>
      </c>
      <c r="D41" s="62"/>
      <c r="E41" s="2" t="s">
        <v>194</v>
      </c>
      <c r="F41" s="46">
        <v>4.2109899999999998</v>
      </c>
      <c r="G41" s="56">
        <v>0</v>
      </c>
      <c r="H41" s="46">
        <f>F41*G41</f>
        <v>0</v>
      </c>
      <c r="J41" s="41"/>
      <c r="Z41" s="46">
        <f>IF(AQ41="5",BJ41,0)</f>
        <v>0</v>
      </c>
      <c r="AB41" s="46">
        <f>IF(AQ41="1",BH41,0)</f>
        <v>0</v>
      </c>
      <c r="AC41" s="46">
        <f>IF(AQ41="1",BI41,0)</f>
        <v>0</v>
      </c>
      <c r="AD41" s="46">
        <f>IF(AQ41="7",BH41,0)</f>
        <v>0</v>
      </c>
      <c r="AE41" s="46">
        <f>IF(AQ41="7",BI41,0)</f>
        <v>0</v>
      </c>
      <c r="AF41" s="46">
        <f>IF(AQ41="2",BH41,0)</f>
        <v>0</v>
      </c>
      <c r="AG41" s="46">
        <f>IF(AQ41="2",BI41,0)</f>
        <v>0</v>
      </c>
      <c r="AH41" s="46">
        <f>IF(AQ41="0",BJ41,0)</f>
        <v>0</v>
      </c>
      <c r="AI41" s="35" t="s">
        <v>4</v>
      </c>
      <c r="AJ41" s="46">
        <f>IF(AN41=0,H41,0)</f>
        <v>0</v>
      </c>
      <c r="AK41" s="46">
        <f>IF(AN41=12,H41,0)</f>
        <v>0</v>
      </c>
      <c r="AL41" s="46">
        <f>IF(AN41=21,H41,0)</f>
        <v>0</v>
      </c>
      <c r="AN41" s="46">
        <v>21</v>
      </c>
      <c r="AO41" s="46">
        <f>G41*0</f>
        <v>0</v>
      </c>
      <c r="AP41" s="46">
        <f>G41*(1-0)</f>
        <v>0</v>
      </c>
      <c r="AQ41" s="47" t="s">
        <v>124</v>
      </c>
      <c r="AV41" s="46">
        <f>AW41+AX41</f>
        <v>0</v>
      </c>
      <c r="AW41" s="46">
        <f>F41*AO41</f>
        <v>0</v>
      </c>
      <c r="AX41" s="46">
        <f>F41*AP41</f>
        <v>0</v>
      </c>
      <c r="AY41" s="47" t="s">
        <v>200</v>
      </c>
      <c r="AZ41" s="47" t="s">
        <v>172</v>
      </c>
      <c r="BA41" s="35" t="s">
        <v>109</v>
      </c>
      <c r="BC41" s="46">
        <f>AW41+AX41</f>
        <v>0</v>
      </c>
      <c r="BD41" s="46">
        <f>G41/(100-BE41)*100</f>
        <v>0</v>
      </c>
      <c r="BE41" s="46">
        <v>0</v>
      </c>
      <c r="BF41" s="46">
        <f>41</f>
        <v>41</v>
      </c>
      <c r="BH41" s="46">
        <f>F41*AO41</f>
        <v>0</v>
      </c>
      <c r="BI41" s="46">
        <f>F41*AP41</f>
        <v>0</v>
      </c>
      <c r="BJ41" s="46">
        <f>F41*G41</f>
        <v>0</v>
      </c>
      <c r="BK41" s="46"/>
      <c r="BL41" s="46"/>
      <c r="BW41" s="46">
        <v>21</v>
      </c>
      <c r="BX41" s="3" t="s">
        <v>199</v>
      </c>
    </row>
    <row r="42" spans="1:76" x14ac:dyDescent="0.25">
      <c r="A42" s="48" t="s">
        <v>4</v>
      </c>
      <c r="B42" s="49" t="s">
        <v>201</v>
      </c>
      <c r="C42" s="114" t="s">
        <v>202</v>
      </c>
      <c r="D42" s="115"/>
      <c r="E42" s="50" t="s">
        <v>72</v>
      </c>
      <c r="F42" s="50" t="s">
        <v>72</v>
      </c>
      <c r="G42" s="50" t="s">
        <v>72</v>
      </c>
      <c r="H42" s="28">
        <f>SUM(H43:H49)</f>
        <v>0</v>
      </c>
      <c r="J42" s="41"/>
      <c r="AI42" s="35" t="s">
        <v>4</v>
      </c>
      <c r="AS42" s="28">
        <f>SUM(AJ43:AJ49)</f>
        <v>0</v>
      </c>
      <c r="AT42" s="28">
        <f>SUM(AK43:AK49)</f>
        <v>0</v>
      </c>
      <c r="AU42" s="28">
        <f>SUM(AL43:AL49)</f>
        <v>0</v>
      </c>
    </row>
    <row r="43" spans="1:76" x14ac:dyDescent="0.25">
      <c r="A43" s="1" t="s">
        <v>203</v>
      </c>
      <c r="B43" s="2" t="s">
        <v>204</v>
      </c>
      <c r="C43" s="61" t="s">
        <v>205</v>
      </c>
      <c r="D43" s="62"/>
      <c r="E43" s="2" t="s">
        <v>194</v>
      </c>
      <c r="F43" s="46">
        <v>38.39611</v>
      </c>
      <c r="G43" s="56">
        <v>0</v>
      </c>
      <c r="H43" s="46">
        <f t="shared" ref="H43:H49" si="20">F43*G43</f>
        <v>0</v>
      </c>
      <c r="J43" s="41"/>
      <c r="Z43" s="46">
        <f t="shared" ref="Z43:Z49" si="21">IF(AQ43="5",BJ43,0)</f>
        <v>0</v>
      </c>
      <c r="AB43" s="46">
        <f t="shared" ref="AB43:AB49" si="22">IF(AQ43="1",BH43,0)</f>
        <v>0</v>
      </c>
      <c r="AC43" s="46">
        <f t="shared" ref="AC43:AC49" si="23">IF(AQ43="1",BI43,0)</f>
        <v>0</v>
      </c>
      <c r="AD43" s="46">
        <f t="shared" ref="AD43:AD49" si="24">IF(AQ43="7",BH43,0)</f>
        <v>0</v>
      </c>
      <c r="AE43" s="46">
        <f t="shared" ref="AE43:AE49" si="25">IF(AQ43="7",BI43,0)</f>
        <v>0</v>
      </c>
      <c r="AF43" s="46">
        <f t="shared" ref="AF43:AF49" si="26">IF(AQ43="2",BH43,0)</f>
        <v>0</v>
      </c>
      <c r="AG43" s="46">
        <f t="shared" ref="AG43:AG49" si="27">IF(AQ43="2",BI43,0)</f>
        <v>0</v>
      </c>
      <c r="AH43" s="46">
        <f t="shared" ref="AH43:AH49" si="28">IF(AQ43="0",BJ43,0)</f>
        <v>0</v>
      </c>
      <c r="AI43" s="35" t="s">
        <v>4</v>
      </c>
      <c r="AJ43" s="46">
        <f t="shared" ref="AJ43:AJ49" si="29">IF(AN43=0,H43,0)</f>
        <v>0</v>
      </c>
      <c r="AK43" s="46">
        <f t="shared" ref="AK43:AK49" si="30">IF(AN43=12,H43,0)</f>
        <v>0</v>
      </c>
      <c r="AL43" s="46">
        <f t="shared" ref="AL43:AL49" si="31">IF(AN43=21,H43,0)</f>
        <v>0</v>
      </c>
      <c r="AN43" s="46">
        <v>21</v>
      </c>
      <c r="AO43" s="46">
        <f t="shared" ref="AO43:AO49" si="32">G43*0</f>
        <v>0</v>
      </c>
      <c r="AP43" s="46">
        <f t="shared" ref="AP43:AP49" si="33">G43*(1-0)</f>
        <v>0</v>
      </c>
      <c r="AQ43" s="47" t="s">
        <v>124</v>
      </c>
      <c r="AV43" s="46">
        <f t="shared" ref="AV43:AV49" si="34">AW43+AX43</f>
        <v>0</v>
      </c>
      <c r="AW43" s="46">
        <f t="shared" ref="AW43:AW49" si="35">F43*AO43</f>
        <v>0</v>
      </c>
      <c r="AX43" s="46">
        <f t="shared" ref="AX43:AX49" si="36">F43*AP43</f>
        <v>0</v>
      </c>
      <c r="AY43" s="47" t="s">
        <v>206</v>
      </c>
      <c r="AZ43" s="47" t="s">
        <v>172</v>
      </c>
      <c r="BA43" s="35" t="s">
        <v>109</v>
      </c>
      <c r="BC43" s="46">
        <f t="shared" ref="BC43:BC49" si="37">AW43+AX43</f>
        <v>0</v>
      </c>
      <c r="BD43" s="46">
        <f t="shared" ref="BD43:BD49" si="38">G43/(100-BE43)*100</f>
        <v>0</v>
      </c>
      <c r="BE43" s="46">
        <v>0</v>
      </c>
      <c r="BF43" s="46">
        <f>43</f>
        <v>43</v>
      </c>
      <c r="BH43" s="46">
        <f t="shared" ref="BH43:BH49" si="39">F43*AO43</f>
        <v>0</v>
      </c>
      <c r="BI43" s="46">
        <f t="shared" ref="BI43:BI49" si="40">F43*AP43</f>
        <v>0</v>
      </c>
      <c r="BJ43" s="46">
        <f t="shared" ref="BJ43:BJ49" si="41">F43*G43</f>
        <v>0</v>
      </c>
      <c r="BK43" s="46"/>
      <c r="BL43" s="46"/>
      <c r="BW43" s="46">
        <v>21</v>
      </c>
      <c r="BX43" s="3" t="s">
        <v>205</v>
      </c>
    </row>
    <row r="44" spans="1:76" x14ac:dyDescent="0.25">
      <c r="A44" s="1" t="s">
        <v>207</v>
      </c>
      <c r="B44" s="2" t="s">
        <v>208</v>
      </c>
      <c r="C44" s="61" t="s">
        <v>209</v>
      </c>
      <c r="D44" s="62"/>
      <c r="E44" s="2" t="s">
        <v>194</v>
      </c>
      <c r="F44" s="46">
        <v>38.39611</v>
      </c>
      <c r="G44" s="56">
        <v>0</v>
      </c>
      <c r="H44" s="46">
        <f t="shared" si="20"/>
        <v>0</v>
      </c>
      <c r="J44" s="41"/>
      <c r="Z44" s="46">
        <f t="shared" si="21"/>
        <v>0</v>
      </c>
      <c r="AB44" s="46">
        <f t="shared" si="22"/>
        <v>0</v>
      </c>
      <c r="AC44" s="46">
        <f t="shared" si="23"/>
        <v>0</v>
      </c>
      <c r="AD44" s="46">
        <f t="shared" si="24"/>
        <v>0</v>
      </c>
      <c r="AE44" s="46">
        <f t="shared" si="25"/>
        <v>0</v>
      </c>
      <c r="AF44" s="46">
        <f t="shared" si="26"/>
        <v>0</v>
      </c>
      <c r="AG44" s="46">
        <f t="shared" si="27"/>
        <v>0</v>
      </c>
      <c r="AH44" s="46">
        <f t="shared" si="28"/>
        <v>0</v>
      </c>
      <c r="AI44" s="35" t="s">
        <v>4</v>
      </c>
      <c r="AJ44" s="46">
        <f t="shared" si="29"/>
        <v>0</v>
      </c>
      <c r="AK44" s="46">
        <f t="shared" si="30"/>
        <v>0</v>
      </c>
      <c r="AL44" s="46">
        <f t="shared" si="31"/>
        <v>0</v>
      </c>
      <c r="AN44" s="46">
        <v>21</v>
      </c>
      <c r="AO44" s="46">
        <f t="shared" si="32"/>
        <v>0</v>
      </c>
      <c r="AP44" s="46">
        <f t="shared" si="33"/>
        <v>0</v>
      </c>
      <c r="AQ44" s="47" t="s">
        <v>124</v>
      </c>
      <c r="AV44" s="46">
        <f t="shared" si="34"/>
        <v>0</v>
      </c>
      <c r="AW44" s="46">
        <f t="shared" si="35"/>
        <v>0</v>
      </c>
      <c r="AX44" s="46">
        <f t="shared" si="36"/>
        <v>0</v>
      </c>
      <c r="AY44" s="47" t="s">
        <v>206</v>
      </c>
      <c r="AZ44" s="47" t="s">
        <v>172</v>
      </c>
      <c r="BA44" s="35" t="s">
        <v>109</v>
      </c>
      <c r="BC44" s="46">
        <f t="shared" si="37"/>
        <v>0</v>
      </c>
      <c r="BD44" s="46">
        <f t="shared" si="38"/>
        <v>0</v>
      </c>
      <c r="BE44" s="46">
        <v>0</v>
      </c>
      <c r="BF44" s="46">
        <f>44</f>
        <v>44</v>
      </c>
      <c r="BH44" s="46">
        <f t="shared" si="39"/>
        <v>0</v>
      </c>
      <c r="BI44" s="46">
        <f t="shared" si="40"/>
        <v>0</v>
      </c>
      <c r="BJ44" s="46">
        <f t="shared" si="41"/>
        <v>0</v>
      </c>
      <c r="BK44" s="46"/>
      <c r="BL44" s="46"/>
      <c r="BW44" s="46">
        <v>21</v>
      </c>
      <c r="BX44" s="3" t="s">
        <v>209</v>
      </c>
    </row>
    <row r="45" spans="1:76" x14ac:dyDescent="0.25">
      <c r="A45" s="1" t="s">
        <v>210</v>
      </c>
      <c r="B45" s="2" t="s">
        <v>211</v>
      </c>
      <c r="C45" s="61" t="s">
        <v>212</v>
      </c>
      <c r="D45" s="62"/>
      <c r="E45" s="2" t="s">
        <v>194</v>
      </c>
      <c r="F45" s="46">
        <v>38.39611</v>
      </c>
      <c r="G45" s="56">
        <v>0</v>
      </c>
      <c r="H45" s="46">
        <f t="shared" si="20"/>
        <v>0</v>
      </c>
      <c r="J45" s="41"/>
      <c r="Z45" s="46">
        <f t="shared" si="21"/>
        <v>0</v>
      </c>
      <c r="AB45" s="46">
        <f t="shared" si="22"/>
        <v>0</v>
      </c>
      <c r="AC45" s="46">
        <f t="shared" si="23"/>
        <v>0</v>
      </c>
      <c r="AD45" s="46">
        <f t="shared" si="24"/>
        <v>0</v>
      </c>
      <c r="AE45" s="46">
        <f t="shared" si="25"/>
        <v>0</v>
      </c>
      <c r="AF45" s="46">
        <f t="shared" si="26"/>
        <v>0</v>
      </c>
      <c r="AG45" s="46">
        <f t="shared" si="27"/>
        <v>0</v>
      </c>
      <c r="AH45" s="46">
        <f t="shared" si="28"/>
        <v>0</v>
      </c>
      <c r="AI45" s="35" t="s">
        <v>4</v>
      </c>
      <c r="AJ45" s="46">
        <f t="shared" si="29"/>
        <v>0</v>
      </c>
      <c r="AK45" s="46">
        <f t="shared" si="30"/>
        <v>0</v>
      </c>
      <c r="AL45" s="46">
        <f t="shared" si="31"/>
        <v>0</v>
      </c>
      <c r="AN45" s="46">
        <v>21</v>
      </c>
      <c r="AO45" s="46">
        <f t="shared" si="32"/>
        <v>0</v>
      </c>
      <c r="AP45" s="46">
        <f t="shared" si="33"/>
        <v>0</v>
      </c>
      <c r="AQ45" s="47" t="s">
        <v>124</v>
      </c>
      <c r="AV45" s="46">
        <f t="shared" si="34"/>
        <v>0</v>
      </c>
      <c r="AW45" s="46">
        <f t="shared" si="35"/>
        <v>0</v>
      </c>
      <c r="AX45" s="46">
        <f t="shared" si="36"/>
        <v>0</v>
      </c>
      <c r="AY45" s="47" t="s">
        <v>206</v>
      </c>
      <c r="AZ45" s="47" t="s">
        <v>172</v>
      </c>
      <c r="BA45" s="35" t="s">
        <v>109</v>
      </c>
      <c r="BC45" s="46">
        <f t="shared" si="37"/>
        <v>0</v>
      </c>
      <c r="BD45" s="46">
        <f t="shared" si="38"/>
        <v>0</v>
      </c>
      <c r="BE45" s="46">
        <v>0</v>
      </c>
      <c r="BF45" s="46">
        <f>45</f>
        <v>45</v>
      </c>
      <c r="BH45" s="46">
        <f t="shared" si="39"/>
        <v>0</v>
      </c>
      <c r="BI45" s="46">
        <f t="shared" si="40"/>
        <v>0</v>
      </c>
      <c r="BJ45" s="46">
        <f t="shared" si="41"/>
        <v>0</v>
      </c>
      <c r="BK45" s="46"/>
      <c r="BL45" s="46"/>
      <c r="BW45" s="46">
        <v>21</v>
      </c>
      <c r="BX45" s="3" t="s">
        <v>212</v>
      </c>
    </row>
    <row r="46" spans="1:76" x14ac:dyDescent="0.25">
      <c r="A46" s="1" t="s">
        <v>213</v>
      </c>
      <c r="B46" s="2" t="s">
        <v>214</v>
      </c>
      <c r="C46" s="61" t="s">
        <v>215</v>
      </c>
      <c r="D46" s="62"/>
      <c r="E46" s="2" t="s">
        <v>194</v>
      </c>
      <c r="F46" s="46">
        <v>38.39611</v>
      </c>
      <c r="G46" s="56">
        <v>0</v>
      </c>
      <c r="H46" s="46">
        <f t="shared" si="20"/>
        <v>0</v>
      </c>
      <c r="J46" s="41"/>
      <c r="Z46" s="46">
        <f t="shared" si="21"/>
        <v>0</v>
      </c>
      <c r="AB46" s="46">
        <f t="shared" si="22"/>
        <v>0</v>
      </c>
      <c r="AC46" s="46">
        <f t="shared" si="23"/>
        <v>0</v>
      </c>
      <c r="AD46" s="46">
        <f t="shared" si="24"/>
        <v>0</v>
      </c>
      <c r="AE46" s="46">
        <f t="shared" si="25"/>
        <v>0</v>
      </c>
      <c r="AF46" s="46">
        <f t="shared" si="26"/>
        <v>0</v>
      </c>
      <c r="AG46" s="46">
        <f t="shared" si="27"/>
        <v>0</v>
      </c>
      <c r="AH46" s="46">
        <f t="shared" si="28"/>
        <v>0</v>
      </c>
      <c r="AI46" s="35" t="s">
        <v>4</v>
      </c>
      <c r="AJ46" s="46">
        <f t="shared" si="29"/>
        <v>0</v>
      </c>
      <c r="AK46" s="46">
        <f t="shared" si="30"/>
        <v>0</v>
      </c>
      <c r="AL46" s="46">
        <f t="shared" si="31"/>
        <v>0</v>
      </c>
      <c r="AN46" s="46">
        <v>21</v>
      </c>
      <c r="AO46" s="46">
        <f t="shared" si="32"/>
        <v>0</v>
      </c>
      <c r="AP46" s="46">
        <f t="shared" si="33"/>
        <v>0</v>
      </c>
      <c r="AQ46" s="47" t="s">
        <v>124</v>
      </c>
      <c r="AV46" s="46">
        <f t="shared" si="34"/>
        <v>0</v>
      </c>
      <c r="AW46" s="46">
        <f t="shared" si="35"/>
        <v>0</v>
      </c>
      <c r="AX46" s="46">
        <f t="shared" si="36"/>
        <v>0</v>
      </c>
      <c r="AY46" s="47" t="s">
        <v>206</v>
      </c>
      <c r="AZ46" s="47" t="s">
        <v>172</v>
      </c>
      <c r="BA46" s="35" t="s">
        <v>109</v>
      </c>
      <c r="BC46" s="46">
        <f t="shared" si="37"/>
        <v>0</v>
      </c>
      <c r="BD46" s="46">
        <f t="shared" si="38"/>
        <v>0</v>
      </c>
      <c r="BE46" s="46">
        <v>0</v>
      </c>
      <c r="BF46" s="46">
        <f>46</f>
        <v>46</v>
      </c>
      <c r="BH46" s="46">
        <f t="shared" si="39"/>
        <v>0</v>
      </c>
      <c r="BI46" s="46">
        <f t="shared" si="40"/>
        <v>0</v>
      </c>
      <c r="BJ46" s="46">
        <f t="shared" si="41"/>
        <v>0</v>
      </c>
      <c r="BK46" s="46"/>
      <c r="BL46" s="46"/>
      <c r="BW46" s="46">
        <v>21</v>
      </c>
      <c r="BX46" s="3" t="s">
        <v>215</v>
      </c>
    </row>
    <row r="47" spans="1:76" x14ac:dyDescent="0.25">
      <c r="A47" s="1" t="s">
        <v>216</v>
      </c>
      <c r="B47" s="2" t="s">
        <v>217</v>
      </c>
      <c r="C47" s="61" t="s">
        <v>218</v>
      </c>
      <c r="D47" s="62"/>
      <c r="E47" s="2" t="s">
        <v>194</v>
      </c>
      <c r="F47" s="46">
        <v>383.96109999999999</v>
      </c>
      <c r="G47" s="56">
        <v>0</v>
      </c>
      <c r="H47" s="46">
        <f t="shared" si="20"/>
        <v>0</v>
      </c>
      <c r="J47" s="41"/>
      <c r="Z47" s="46">
        <f t="shared" si="21"/>
        <v>0</v>
      </c>
      <c r="AB47" s="46">
        <f t="shared" si="22"/>
        <v>0</v>
      </c>
      <c r="AC47" s="46">
        <f t="shared" si="23"/>
        <v>0</v>
      </c>
      <c r="AD47" s="46">
        <f t="shared" si="24"/>
        <v>0</v>
      </c>
      <c r="AE47" s="46">
        <f t="shared" si="25"/>
        <v>0</v>
      </c>
      <c r="AF47" s="46">
        <f t="shared" si="26"/>
        <v>0</v>
      </c>
      <c r="AG47" s="46">
        <f t="shared" si="27"/>
        <v>0</v>
      </c>
      <c r="AH47" s="46">
        <f t="shared" si="28"/>
        <v>0</v>
      </c>
      <c r="AI47" s="35" t="s">
        <v>4</v>
      </c>
      <c r="AJ47" s="46">
        <f t="shared" si="29"/>
        <v>0</v>
      </c>
      <c r="AK47" s="46">
        <f t="shared" si="30"/>
        <v>0</v>
      </c>
      <c r="AL47" s="46">
        <f t="shared" si="31"/>
        <v>0</v>
      </c>
      <c r="AN47" s="46">
        <v>21</v>
      </c>
      <c r="AO47" s="46">
        <f t="shared" si="32"/>
        <v>0</v>
      </c>
      <c r="AP47" s="46">
        <f t="shared" si="33"/>
        <v>0</v>
      </c>
      <c r="AQ47" s="47" t="s">
        <v>124</v>
      </c>
      <c r="AV47" s="46">
        <f t="shared" si="34"/>
        <v>0</v>
      </c>
      <c r="AW47" s="46">
        <f t="shared" si="35"/>
        <v>0</v>
      </c>
      <c r="AX47" s="46">
        <f t="shared" si="36"/>
        <v>0</v>
      </c>
      <c r="AY47" s="47" t="s">
        <v>206</v>
      </c>
      <c r="AZ47" s="47" t="s">
        <v>172</v>
      </c>
      <c r="BA47" s="35" t="s">
        <v>109</v>
      </c>
      <c r="BC47" s="46">
        <f t="shared" si="37"/>
        <v>0</v>
      </c>
      <c r="BD47" s="46">
        <f t="shared" si="38"/>
        <v>0</v>
      </c>
      <c r="BE47" s="46">
        <v>0</v>
      </c>
      <c r="BF47" s="46">
        <f>47</f>
        <v>47</v>
      </c>
      <c r="BH47" s="46">
        <f t="shared" si="39"/>
        <v>0</v>
      </c>
      <c r="BI47" s="46">
        <f t="shared" si="40"/>
        <v>0</v>
      </c>
      <c r="BJ47" s="46">
        <f t="shared" si="41"/>
        <v>0</v>
      </c>
      <c r="BK47" s="46"/>
      <c r="BL47" s="46"/>
      <c r="BW47" s="46">
        <v>21</v>
      </c>
      <c r="BX47" s="3" t="s">
        <v>218</v>
      </c>
    </row>
    <row r="48" spans="1:76" x14ac:dyDescent="0.25">
      <c r="A48" s="1" t="s">
        <v>219</v>
      </c>
      <c r="B48" s="2" t="s">
        <v>220</v>
      </c>
      <c r="C48" s="61" t="s">
        <v>221</v>
      </c>
      <c r="D48" s="62"/>
      <c r="E48" s="2" t="s">
        <v>194</v>
      </c>
      <c r="F48" s="46">
        <v>38.369810000000001</v>
      </c>
      <c r="G48" s="56">
        <v>0</v>
      </c>
      <c r="H48" s="46">
        <f t="shared" si="20"/>
        <v>0</v>
      </c>
      <c r="J48" s="41"/>
      <c r="Z48" s="46">
        <f t="shared" si="21"/>
        <v>0</v>
      </c>
      <c r="AB48" s="46">
        <f t="shared" si="22"/>
        <v>0</v>
      </c>
      <c r="AC48" s="46">
        <f t="shared" si="23"/>
        <v>0</v>
      </c>
      <c r="AD48" s="46">
        <f t="shared" si="24"/>
        <v>0</v>
      </c>
      <c r="AE48" s="46">
        <f t="shared" si="25"/>
        <v>0</v>
      </c>
      <c r="AF48" s="46">
        <f t="shared" si="26"/>
        <v>0</v>
      </c>
      <c r="AG48" s="46">
        <f t="shared" si="27"/>
        <v>0</v>
      </c>
      <c r="AH48" s="46">
        <f t="shared" si="28"/>
        <v>0</v>
      </c>
      <c r="AI48" s="35" t="s">
        <v>4</v>
      </c>
      <c r="AJ48" s="46">
        <f t="shared" si="29"/>
        <v>0</v>
      </c>
      <c r="AK48" s="46">
        <f t="shared" si="30"/>
        <v>0</v>
      </c>
      <c r="AL48" s="46">
        <f t="shared" si="31"/>
        <v>0</v>
      </c>
      <c r="AN48" s="46">
        <v>21</v>
      </c>
      <c r="AO48" s="46">
        <f t="shared" si="32"/>
        <v>0</v>
      </c>
      <c r="AP48" s="46">
        <f t="shared" si="33"/>
        <v>0</v>
      </c>
      <c r="AQ48" s="47" t="s">
        <v>124</v>
      </c>
      <c r="AV48" s="46">
        <f t="shared" si="34"/>
        <v>0</v>
      </c>
      <c r="AW48" s="46">
        <f t="shared" si="35"/>
        <v>0</v>
      </c>
      <c r="AX48" s="46">
        <f t="shared" si="36"/>
        <v>0</v>
      </c>
      <c r="AY48" s="47" t="s">
        <v>206</v>
      </c>
      <c r="AZ48" s="47" t="s">
        <v>172</v>
      </c>
      <c r="BA48" s="35" t="s">
        <v>109</v>
      </c>
      <c r="BC48" s="46">
        <f t="shared" si="37"/>
        <v>0</v>
      </c>
      <c r="BD48" s="46">
        <f t="shared" si="38"/>
        <v>0</v>
      </c>
      <c r="BE48" s="46">
        <v>0</v>
      </c>
      <c r="BF48" s="46">
        <f>48</f>
        <v>48</v>
      </c>
      <c r="BH48" s="46">
        <f t="shared" si="39"/>
        <v>0</v>
      </c>
      <c r="BI48" s="46">
        <f t="shared" si="40"/>
        <v>0</v>
      </c>
      <c r="BJ48" s="46">
        <f t="shared" si="41"/>
        <v>0</v>
      </c>
      <c r="BK48" s="46"/>
      <c r="BL48" s="46"/>
      <c r="BW48" s="46">
        <v>21</v>
      </c>
      <c r="BX48" s="3" t="s">
        <v>221</v>
      </c>
    </row>
    <row r="49" spans="1:76" x14ac:dyDescent="0.25">
      <c r="A49" s="1" t="s">
        <v>222</v>
      </c>
      <c r="B49" s="2" t="s">
        <v>223</v>
      </c>
      <c r="C49" s="61" t="s">
        <v>224</v>
      </c>
      <c r="D49" s="62"/>
      <c r="E49" s="2" t="s">
        <v>194</v>
      </c>
      <c r="F49" s="46">
        <v>2.63E-2</v>
      </c>
      <c r="G49" s="56">
        <v>0</v>
      </c>
      <c r="H49" s="46">
        <f t="shared" si="20"/>
        <v>0</v>
      </c>
      <c r="J49" s="41"/>
      <c r="Z49" s="46">
        <f t="shared" si="21"/>
        <v>0</v>
      </c>
      <c r="AB49" s="46">
        <f t="shared" si="22"/>
        <v>0</v>
      </c>
      <c r="AC49" s="46">
        <f t="shared" si="23"/>
        <v>0</v>
      </c>
      <c r="AD49" s="46">
        <f t="shared" si="24"/>
        <v>0</v>
      </c>
      <c r="AE49" s="46">
        <f t="shared" si="25"/>
        <v>0</v>
      </c>
      <c r="AF49" s="46">
        <f t="shared" si="26"/>
        <v>0</v>
      </c>
      <c r="AG49" s="46">
        <f t="shared" si="27"/>
        <v>0</v>
      </c>
      <c r="AH49" s="46">
        <f t="shared" si="28"/>
        <v>0</v>
      </c>
      <c r="AI49" s="35" t="s">
        <v>4</v>
      </c>
      <c r="AJ49" s="46">
        <f t="shared" si="29"/>
        <v>0</v>
      </c>
      <c r="AK49" s="46">
        <f t="shared" si="30"/>
        <v>0</v>
      </c>
      <c r="AL49" s="46">
        <f t="shared" si="31"/>
        <v>0</v>
      </c>
      <c r="AN49" s="46">
        <v>21</v>
      </c>
      <c r="AO49" s="46">
        <f t="shared" si="32"/>
        <v>0</v>
      </c>
      <c r="AP49" s="46">
        <f t="shared" si="33"/>
        <v>0</v>
      </c>
      <c r="AQ49" s="47" t="s">
        <v>124</v>
      </c>
      <c r="AV49" s="46">
        <f t="shared" si="34"/>
        <v>0</v>
      </c>
      <c r="AW49" s="46">
        <f t="shared" si="35"/>
        <v>0</v>
      </c>
      <c r="AX49" s="46">
        <f t="shared" si="36"/>
        <v>0</v>
      </c>
      <c r="AY49" s="47" t="s">
        <v>206</v>
      </c>
      <c r="AZ49" s="47" t="s">
        <v>172</v>
      </c>
      <c r="BA49" s="35" t="s">
        <v>109</v>
      </c>
      <c r="BC49" s="46">
        <f t="shared" si="37"/>
        <v>0</v>
      </c>
      <c r="BD49" s="46">
        <f t="shared" si="38"/>
        <v>0</v>
      </c>
      <c r="BE49" s="46">
        <v>0</v>
      </c>
      <c r="BF49" s="46">
        <f>49</f>
        <v>49</v>
      </c>
      <c r="BH49" s="46">
        <f t="shared" si="39"/>
        <v>0</v>
      </c>
      <c r="BI49" s="46">
        <f t="shared" si="40"/>
        <v>0</v>
      </c>
      <c r="BJ49" s="46">
        <f t="shared" si="41"/>
        <v>0</v>
      </c>
      <c r="BK49" s="46"/>
      <c r="BL49" s="46"/>
      <c r="BW49" s="46">
        <v>21</v>
      </c>
      <c r="BX49" s="3" t="s">
        <v>224</v>
      </c>
    </row>
    <row r="50" spans="1:76" x14ac:dyDescent="0.25">
      <c r="A50" s="48" t="s">
        <v>4</v>
      </c>
      <c r="B50" s="49" t="s">
        <v>225</v>
      </c>
      <c r="C50" s="114" t="s">
        <v>37</v>
      </c>
      <c r="D50" s="115"/>
      <c r="E50" s="50" t="s">
        <v>72</v>
      </c>
      <c r="F50" s="50" t="s">
        <v>72</v>
      </c>
      <c r="G50" s="50" t="s">
        <v>72</v>
      </c>
      <c r="H50" s="28">
        <f>SUM(H51:H51)</f>
        <v>0</v>
      </c>
      <c r="J50" s="41"/>
      <c r="AI50" s="35" t="s">
        <v>4</v>
      </c>
      <c r="AS50" s="28">
        <f>SUM(AJ51:AJ51)</f>
        <v>0</v>
      </c>
      <c r="AT50" s="28">
        <f>SUM(AK51:AK51)</f>
        <v>0</v>
      </c>
      <c r="AU50" s="28">
        <f>SUM(AL51:AL51)</f>
        <v>0</v>
      </c>
    </row>
    <row r="51" spans="1:76" x14ac:dyDescent="0.25">
      <c r="A51" s="4" t="s">
        <v>226</v>
      </c>
      <c r="B51" s="5" t="s">
        <v>227</v>
      </c>
      <c r="C51" s="113" t="s">
        <v>235</v>
      </c>
      <c r="D51" s="98"/>
      <c r="E51" s="5" t="s">
        <v>229</v>
      </c>
      <c r="F51" s="51">
        <v>7153</v>
      </c>
      <c r="G51" s="57">
        <v>0</v>
      </c>
      <c r="H51" s="51">
        <f>F51*G51</f>
        <v>0</v>
      </c>
      <c r="I51" s="52"/>
      <c r="J51" s="53"/>
      <c r="Z51" s="46">
        <f>IF(AQ51="5",BJ51,0)</f>
        <v>0</v>
      </c>
      <c r="AB51" s="46">
        <f>IF(AQ51="1",BH51,0)</f>
        <v>0</v>
      </c>
      <c r="AC51" s="46">
        <f>IF(AQ51="1",BI51,0)</f>
        <v>0</v>
      </c>
      <c r="AD51" s="46">
        <f>IF(AQ51="7",BH51,0)</f>
        <v>0</v>
      </c>
      <c r="AE51" s="46">
        <f>IF(AQ51="7",BI51,0)</f>
        <v>0</v>
      </c>
      <c r="AF51" s="46">
        <f>IF(AQ51="2",BH51,0)</f>
        <v>0</v>
      </c>
      <c r="AG51" s="46">
        <f>IF(AQ51="2",BI51,0)</f>
        <v>0</v>
      </c>
      <c r="AH51" s="46">
        <f>IF(AQ51="0",BJ51,0)</f>
        <v>0</v>
      </c>
      <c r="AI51" s="35" t="s">
        <v>4</v>
      </c>
      <c r="AJ51" s="46">
        <f>IF(AN51=0,H51,0)</f>
        <v>0</v>
      </c>
      <c r="AK51" s="46">
        <f>IF(AN51=12,H51,0)</f>
        <v>0</v>
      </c>
      <c r="AL51" s="46">
        <f>IF(AN51=21,H51,0)</f>
        <v>0</v>
      </c>
      <c r="AN51" s="46">
        <v>21</v>
      </c>
      <c r="AO51" s="46">
        <f>G51*1</f>
        <v>0</v>
      </c>
      <c r="AP51" s="46">
        <f>G51*(1-1)</f>
        <v>0</v>
      </c>
      <c r="AQ51" s="47" t="s">
        <v>230</v>
      </c>
      <c r="AV51" s="46">
        <f>AW51+AX51</f>
        <v>0</v>
      </c>
      <c r="AW51" s="46">
        <f>F51*AO51</f>
        <v>0</v>
      </c>
      <c r="AX51" s="46">
        <f>F51*AP51</f>
        <v>0</v>
      </c>
      <c r="AY51" s="47" t="s">
        <v>231</v>
      </c>
      <c r="AZ51" s="47" t="s">
        <v>232</v>
      </c>
      <c r="BA51" s="35" t="s">
        <v>109</v>
      </c>
      <c r="BC51" s="46">
        <f>AW51+AX51</f>
        <v>0</v>
      </c>
      <c r="BD51" s="46">
        <f>G51/(100-BE51)*100</f>
        <v>0</v>
      </c>
      <c r="BE51" s="46">
        <v>0</v>
      </c>
      <c r="BF51" s="46">
        <f>51</f>
        <v>51</v>
      </c>
      <c r="BH51" s="46">
        <f>F51*AO51</f>
        <v>0</v>
      </c>
      <c r="BI51" s="46">
        <f>F51*AP51</f>
        <v>0</v>
      </c>
      <c r="BJ51" s="46">
        <f>F51*G51</f>
        <v>0</v>
      </c>
      <c r="BK51" s="46"/>
      <c r="BL51" s="46"/>
      <c r="BW51" s="46">
        <v>21</v>
      </c>
      <c r="BX51" s="3" t="s">
        <v>228</v>
      </c>
    </row>
    <row r="52" spans="1:76" x14ac:dyDescent="0.25">
      <c r="H52" s="54">
        <f>H12+H14+H21+H23+H25+H29+H31+H33+H35+H38+H40+H42+H50</f>
        <v>0</v>
      </c>
    </row>
    <row r="53" spans="1:76" x14ac:dyDescent="0.25">
      <c r="A53" s="55" t="s">
        <v>57</v>
      </c>
    </row>
    <row r="54" spans="1:76" ht="12.75" customHeight="1" x14ac:dyDescent="0.25">
      <c r="A54" s="61" t="s">
        <v>4</v>
      </c>
      <c r="B54" s="62"/>
      <c r="C54" s="62"/>
      <c r="D54" s="62"/>
      <c r="E54" s="62"/>
      <c r="F54" s="62"/>
      <c r="G54" s="62"/>
      <c r="H54" s="62"/>
      <c r="I54" s="62"/>
      <c r="J54" s="62"/>
    </row>
  </sheetData>
  <mergeCells count="68"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51:D51"/>
    <mergeCell ref="A54:J54"/>
    <mergeCell ref="C46:D46"/>
    <mergeCell ref="C47:D47"/>
    <mergeCell ref="C48:D48"/>
    <mergeCell ref="C49:D49"/>
    <mergeCell ref="C50:D50"/>
  </mergeCells>
  <pageMargins left="0.393999993801117" right="0.393999993801117" top="0.59100002050399802" bottom="0.59100002050399802" header="0" footer="0"/>
  <pageSetup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8" sqref="I8:I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2" t="s">
        <v>58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A2" s="104" t="s">
        <v>1</v>
      </c>
      <c r="B2" s="105"/>
      <c r="C2" s="110" t="str">
        <f>'Stavební rozpočet'!C2</f>
        <v>Oprava pergoly psychiatrie</v>
      </c>
      <c r="D2" s="111"/>
      <c r="E2" s="101" t="s">
        <v>2</v>
      </c>
      <c r="F2" s="101" t="str">
        <f>'Stavební rozpočet'!I2</f>
        <v>Nemocnice Pardbického kraje a. s.</v>
      </c>
      <c r="G2" s="105"/>
      <c r="H2" s="101" t="s">
        <v>3</v>
      </c>
      <c r="I2" s="107" t="s">
        <v>4</v>
      </c>
    </row>
    <row r="3" spans="1:9" ht="15" customHeight="1" x14ac:dyDescent="0.25">
      <c r="A3" s="106"/>
      <c r="B3" s="62"/>
      <c r="C3" s="112"/>
      <c r="D3" s="112"/>
      <c r="E3" s="62"/>
      <c r="F3" s="62"/>
      <c r="G3" s="62"/>
      <c r="H3" s="62"/>
      <c r="I3" s="108"/>
    </row>
    <row r="4" spans="1:9" x14ac:dyDescent="0.25">
      <c r="A4" s="99" t="s">
        <v>5</v>
      </c>
      <c r="B4" s="62"/>
      <c r="C4" s="61" t="str">
        <f>'Stavební rozpočet'!C4</f>
        <v xml:space="preserve"> </v>
      </c>
      <c r="D4" s="62"/>
      <c r="E4" s="61" t="s">
        <v>6</v>
      </c>
      <c r="F4" s="61" t="str">
        <f>'Stavební rozpočet'!I4</f>
        <v> </v>
      </c>
      <c r="G4" s="62"/>
      <c r="H4" s="61" t="s">
        <v>3</v>
      </c>
      <c r="I4" s="108" t="s">
        <v>4</v>
      </c>
    </row>
    <row r="5" spans="1:9" ht="15" customHeight="1" x14ac:dyDescent="0.25">
      <c r="A5" s="106"/>
      <c r="B5" s="62"/>
      <c r="C5" s="62"/>
      <c r="D5" s="62"/>
      <c r="E5" s="62"/>
      <c r="F5" s="62"/>
      <c r="G5" s="62"/>
      <c r="H5" s="62"/>
      <c r="I5" s="108"/>
    </row>
    <row r="6" spans="1:9" x14ac:dyDescent="0.25">
      <c r="A6" s="99" t="s">
        <v>7</v>
      </c>
      <c r="B6" s="62"/>
      <c r="C6" s="61" t="str">
        <f>'Stavební rozpočet'!C6</f>
        <v>Svitavská nemocnice - SYN</v>
      </c>
      <c r="D6" s="62"/>
      <c r="E6" s="61" t="s">
        <v>8</v>
      </c>
      <c r="F6" s="61">
        <f>'Stavební rozpočet'!I6</f>
        <v>0</v>
      </c>
      <c r="G6" s="62"/>
      <c r="H6" s="61" t="s">
        <v>3</v>
      </c>
      <c r="I6" s="108"/>
    </row>
    <row r="7" spans="1:9" ht="15" customHeight="1" x14ac:dyDescent="0.25">
      <c r="A7" s="106"/>
      <c r="B7" s="62"/>
      <c r="C7" s="62"/>
      <c r="D7" s="62"/>
      <c r="E7" s="62"/>
      <c r="F7" s="62"/>
      <c r="G7" s="62"/>
      <c r="H7" s="62"/>
      <c r="I7" s="108"/>
    </row>
    <row r="8" spans="1:9" x14ac:dyDescent="0.25">
      <c r="A8" s="99" t="s">
        <v>9</v>
      </c>
      <c r="B8" s="62"/>
      <c r="C8" s="61" t="str">
        <f>'Stavební rozpočet'!G4</f>
        <v xml:space="preserve"> </v>
      </c>
      <c r="D8" s="62"/>
      <c r="E8" s="61" t="s">
        <v>10</v>
      </c>
      <c r="F8" s="61" t="str">
        <f>'Stavební rozpočet'!G6</f>
        <v xml:space="preserve"> </v>
      </c>
      <c r="G8" s="62"/>
      <c r="H8" s="62" t="s">
        <v>11</v>
      </c>
      <c r="I8" s="109">
        <v>27</v>
      </c>
    </row>
    <row r="9" spans="1:9" x14ac:dyDescent="0.25">
      <c r="A9" s="106"/>
      <c r="B9" s="62"/>
      <c r="C9" s="62"/>
      <c r="D9" s="62"/>
      <c r="E9" s="62"/>
      <c r="F9" s="62"/>
      <c r="G9" s="62"/>
      <c r="H9" s="62"/>
      <c r="I9" s="108"/>
    </row>
    <row r="10" spans="1:9" x14ac:dyDescent="0.25">
      <c r="A10" s="99" t="s">
        <v>12</v>
      </c>
      <c r="B10" s="62"/>
      <c r="C10" s="61" t="str">
        <f>'Stavební rozpočet'!C8</f>
        <v xml:space="preserve"> </v>
      </c>
      <c r="D10" s="62"/>
      <c r="E10" s="61" t="s">
        <v>13</v>
      </c>
      <c r="F10" s="61">
        <f>'Stavební rozpočet'!I8</f>
        <v>0</v>
      </c>
      <c r="G10" s="62"/>
      <c r="H10" s="62" t="s">
        <v>14</v>
      </c>
      <c r="I10" s="93">
        <f>'Stavební rozpočet'!G8</f>
        <v>0</v>
      </c>
    </row>
    <row r="11" spans="1:9" x14ac:dyDescent="0.25">
      <c r="A11" s="100"/>
      <c r="B11" s="98"/>
      <c r="C11" s="98"/>
      <c r="D11" s="98"/>
      <c r="E11" s="98"/>
      <c r="F11" s="98"/>
      <c r="G11" s="98"/>
      <c r="H11" s="98"/>
      <c r="I11" s="94"/>
    </row>
    <row r="13" spans="1:9" ht="15.75" x14ac:dyDescent="0.25">
      <c r="A13" s="136" t="s">
        <v>59</v>
      </c>
      <c r="B13" s="136"/>
      <c r="C13" s="136"/>
      <c r="D13" s="136"/>
      <c r="E13" s="136"/>
    </row>
    <row r="14" spans="1:9" x14ac:dyDescent="0.25">
      <c r="A14" s="137" t="s">
        <v>60</v>
      </c>
      <c r="B14" s="138"/>
      <c r="C14" s="138"/>
      <c r="D14" s="138"/>
      <c r="E14" s="139"/>
      <c r="F14" s="20" t="s">
        <v>61</v>
      </c>
      <c r="G14" s="20" t="s">
        <v>62</v>
      </c>
      <c r="H14" s="20" t="s">
        <v>63</v>
      </c>
      <c r="I14" s="20" t="s">
        <v>61</v>
      </c>
    </row>
    <row r="15" spans="1:9" x14ac:dyDescent="0.25">
      <c r="A15" s="140" t="s">
        <v>24</v>
      </c>
      <c r="B15" s="141"/>
      <c r="C15" s="141"/>
      <c r="D15" s="141"/>
      <c r="E15" s="142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 x14ac:dyDescent="0.25">
      <c r="A16" s="140" t="s">
        <v>27</v>
      </c>
      <c r="B16" s="141"/>
      <c r="C16" s="141"/>
      <c r="D16" s="141"/>
      <c r="E16" s="142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 x14ac:dyDescent="0.25">
      <c r="A17" s="140" t="s">
        <v>30</v>
      </c>
      <c r="B17" s="141"/>
      <c r="C17" s="141"/>
      <c r="D17" s="141"/>
      <c r="E17" s="142"/>
      <c r="F17" s="21">
        <v>0</v>
      </c>
      <c r="G17" s="22" t="s">
        <v>4</v>
      </c>
      <c r="H17" s="22" t="s">
        <v>4</v>
      </c>
      <c r="I17" s="21">
        <f>F17</f>
        <v>0</v>
      </c>
    </row>
    <row r="18" spans="1:9" x14ac:dyDescent="0.25">
      <c r="A18" s="124" t="s">
        <v>32</v>
      </c>
      <c r="B18" s="125"/>
      <c r="C18" s="125"/>
      <c r="D18" s="125"/>
      <c r="E18" s="126"/>
      <c r="F18" s="23" t="s">
        <v>4</v>
      </c>
      <c r="G18" s="58">
        <v>0</v>
      </c>
      <c r="H18" s="24">
        <f>'Krycí list rozpočtu'!C22</f>
        <v>0</v>
      </c>
      <c r="I18" s="24">
        <f>ROUND((G18/100)*H18,2)</f>
        <v>0</v>
      </c>
    </row>
    <row r="19" spans="1:9" x14ac:dyDescent="0.25">
      <c r="A19" s="127" t="s">
        <v>64</v>
      </c>
      <c r="B19" s="128"/>
      <c r="C19" s="128"/>
      <c r="D19" s="128"/>
      <c r="E19" s="129"/>
      <c r="F19" s="25" t="s">
        <v>4</v>
      </c>
      <c r="G19" s="26" t="s">
        <v>4</v>
      </c>
      <c r="H19" s="26" t="s">
        <v>4</v>
      </c>
      <c r="I19" s="27">
        <f>SUM(I15:I18)</f>
        <v>0</v>
      </c>
    </row>
    <row r="21" spans="1:9" x14ac:dyDescent="0.25">
      <c r="A21" s="137" t="s">
        <v>21</v>
      </c>
      <c r="B21" s="138"/>
      <c r="C21" s="138"/>
      <c r="D21" s="138"/>
      <c r="E21" s="139"/>
      <c r="F21" s="20" t="s">
        <v>61</v>
      </c>
      <c r="G21" s="20" t="s">
        <v>62</v>
      </c>
      <c r="H21" s="20" t="s">
        <v>63</v>
      </c>
      <c r="I21" s="20" t="s">
        <v>61</v>
      </c>
    </row>
    <row r="22" spans="1:9" x14ac:dyDescent="0.25">
      <c r="A22" s="140" t="s">
        <v>25</v>
      </c>
      <c r="B22" s="141"/>
      <c r="C22" s="141"/>
      <c r="D22" s="141"/>
      <c r="E22" s="142"/>
      <c r="F22" s="22" t="s">
        <v>4</v>
      </c>
      <c r="G22" s="59">
        <v>0</v>
      </c>
      <c r="H22" s="21">
        <f>'Krycí list rozpočtu'!C22</f>
        <v>0</v>
      </c>
      <c r="I22" s="21">
        <f>ROUND((G22/100)*H22,2)</f>
        <v>0</v>
      </c>
    </row>
    <row r="23" spans="1:9" x14ac:dyDescent="0.25">
      <c r="A23" s="140" t="s">
        <v>28</v>
      </c>
      <c r="B23" s="141"/>
      <c r="C23" s="141"/>
      <c r="D23" s="141"/>
      <c r="E23" s="142"/>
      <c r="F23" s="60">
        <v>0</v>
      </c>
      <c r="G23" s="22" t="s">
        <v>4</v>
      </c>
      <c r="H23" s="22" t="s">
        <v>4</v>
      </c>
      <c r="I23" s="21">
        <f>F23</f>
        <v>0</v>
      </c>
    </row>
    <row r="24" spans="1:9" x14ac:dyDescent="0.25">
      <c r="A24" s="140" t="s">
        <v>31</v>
      </c>
      <c r="B24" s="141"/>
      <c r="C24" s="141"/>
      <c r="D24" s="141"/>
      <c r="E24" s="142"/>
      <c r="F24" s="21">
        <v>0</v>
      </c>
      <c r="G24" s="22" t="s">
        <v>4</v>
      </c>
      <c r="H24" s="22" t="s">
        <v>4</v>
      </c>
      <c r="I24" s="21">
        <f>F24</f>
        <v>0</v>
      </c>
    </row>
    <row r="25" spans="1:9" x14ac:dyDescent="0.25">
      <c r="A25" s="140" t="s">
        <v>33</v>
      </c>
      <c r="B25" s="141"/>
      <c r="C25" s="141"/>
      <c r="D25" s="141"/>
      <c r="E25" s="142"/>
      <c r="F25" s="21">
        <v>0</v>
      </c>
      <c r="G25" s="22" t="s">
        <v>4</v>
      </c>
      <c r="H25" s="22" t="s">
        <v>4</v>
      </c>
      <c r="I25" s="21">
        <f>F25</f>
        <v>0</v>
      </c>
    </row>
    <row r="26" spans="1:9" x14ac:dyDescent="0.25">
      <c r="A26" s="140" t="s">
        <v>35</v>
      </c>
      <c r="B26" s="141"/>
      <c r="C26" s="141"/>
      <c r="D26" s="141"/>
      <c r="E26" s="142"/>
      <c r="F26" s="21">
        <v>0</v>
      </c>
      <c r="G26" s="22" t="s">
        <v>4</v>
      </c>
      <c r="H26" s="22" t="s">
        <v>4</v>
      </c>
      <c r="I26" s="21">
        <f>F26</f>
        <v>0</v>
      </c>
    </row>
    <row r="27" spans="1:9" x14ac:dyDescent="0.25">
      <c r="A27" s="124" t="s">
        <v>36</v>
      </c>
      <c r="B27" s="125"/>
      <c r="C27" s="125"/>
      <c r="D27" s="125"/>
      <c r="E27" s="126"/>
      <c r="F27" s="24">
        <v>0</v>
      </c>
      <c r="G27" s="23" t="s">
        <v>4</v>
      </c>
      <c r="H27" s="23" t="s">
        <v>4</v>
      </c>
      <c r="I27" s="24">
        <f>F27</f>
        <v>0</v>
      </c>
    </row>
    <row r="28" spans="1:9" x14ac:dyDescent="0.25">
      <c r="A28" s="127" t="s">
        <v>65</v>
      </c>
      <c r="B28" s="128"/>
      <c r="C28" s="128"/>
      <c r="D28" s="128"/>
      <c r="E28" s="129"/>
      <c r="F28" s="25" t="s">
        <v>4</v>
      </c>
      <c r="G28" s="26" t="s">
        <v>4</v>
      </c>
      <c r="H28" s="26" t="s">
        <v>4</v>
      </c>
      <c r="I28" s="27">
        <f>SUM(I22:I27)</f>
        <v>0</v>
      </c>
    </row>
    <row r="30" spans="1:9" ht="15.75" x14ac:dyDescent="0.25">
      <c r="A30" s="130" t="s">
        <v>66</v>
      </c>
      <c r="B30" s="131"/>
      <c r="C30" s="131"/>
      <c r="D30" s="131"/>
      <c r="E30" s="132"/>
      <c r="F30" s="133">
        <f>I19+I28</f>
        <v>0</v>
      </c>
      <c r="G30" s="134"/>
      <c r="H30" s="134"/>
      <c r="I30" s="135"/>
    </row>
    <row r="34" spans="1:9" ht="15.75" x14ac:dyDescent="0.25">
      <c r="A34" s="136" t="s">
        <v>67</v>
      </c>
      <c r="B34" s="136"/>
      <c r="C34" s="136"/>
      <c r="D34" s="136"/>
      <c r="E34" s="136"/>
    </row>
    <row r="35" spans="1:9" x14ac:dyDescent="0.25">
      <c r="A35" s="137" t="s">
        <v>68</v>
      </c>
      <c r="B35" s="138"/>
      <c r="C35" s="138"/>
      <c r="D35" s="138"/>
      <c r="E35" s="139"/>
      <c r="F35" s="20" t="s">
        <v>61</v>
      </c>
      <c r="G35" s="20" t="s">
        <v>62</v>
      </c>
      <c r="H35" s="20" t="s">
        <v>63</v>
      </c>
      <c r="I35" s="20" t="s">
        <v>61</v>
      </c>
    </row>
    <row r="36" spans="1:9" x14ac:dyDescent="0.25">
      <c r="A36" s="124" t="s">
        <v>4</v>
      </c>
      <c r="B36" s="125"/>
      <c r="C36" s="125"/>
      <c r="D36" s="125"/>
      <c r="E36" s="126"/>
      <c r="F36" s="24">
        <v>0</v>
      </c>
      <c r="G36" s="23" t="s">
        <v>4</v>
      </c>
      <c r="H36" s="23" t="s">
        <v>4</v>
      </c>
      <c r="I36" s="24">
        <f>F36</f>
        <v>0</v>
      </c>
    </row>
    <row r="37" spans="1:9" x14ac:dyDescent="0.25">
      <c r="A37" s="127" t="s">
        <v>69</v>
      </c>
      <c r="B37" s="128"/>
      <c r="C37" s="128"/>
      <c r="D37" s="128"/>
      <c r="E37" s="129"/>
      <c r="F37" s="25" t="s">
        <v>4</v>
      </c>
      <c r="G37" s="26" t="s">
        <v>4</v>
      </c>
      <c r="H37" s="26" t="s">
        <v>4</v>
      </c>
      <c r="I37" s="27">
        <f>SUM(I36:I36)</f>
        <v>0</v>
      </c>
    </row>
  </sheetData>
  <mergeCells count="52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19:E19"/>
    <mergeCell ref="A21:E21"/>
    <mergeCell ref="A22:E22"/>
    <mergeCell ref="A23:E23"/>
    <mergeCell ref="A24:E24"/>
    <mergeCell ref="A25:E25"/>
    <mergeCell ref="A26:E26"/>
    <mergeCell ref="A27:E27"/>
    <mergeCell ref="A36:E36"/>
    <mergeCell ref="A37:E37"/>
    <mergeCell ref="A28:E28"/>
    <mergeCell ref="A30:E30"/>
    <mergeCell ref="F30:I30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Stavební rozpočet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Chadima Zdeněk (PKN-PTU)</cp:lastModifiedBy>
  <dcterms:created xsi:type="dcterms:W3CDTF">2021-06-10T20:06:38Z</dcterms:created>
  <dcterms:modified xsi:type="dcterms:W3CDTF">2025-08-07T07:25:32Z</dcterms:modified>
</cp:coreProperties>
</file>